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60" windowWidth="14145" windowHeight="8550" tabRatio="740"/>
  </bookViews>
  <sheets>
    <sheet name="안내" sheetId="10" r:id="rId1"/>
    <sheet name="A1기초자료입력" sheetId="1" r:id="rId2"/>
    <sheet name="A2부가가치계산항목" sheetId="9" r:id="rId3"/>
    <sheet name="B1평가지표" sheetId="3" r:id="rId4"/>
    <sheet name="B2산업평균비율" sheetId="4" r:id="rId5"/>
  </sheets>
  <definedNames>
    <definedName name="_xlnm._FilterDatabase" localSheetId="4" hidden="1">B2산업평균비율!$A$1:$R$50</definedName>
    <definedName name="_xlnm.Print_Area" localSheetId="1">A1기초자료입력!$A$1:$D$96</definedName>
    <definedName name="_xlnm.Print_Area" localSheetId="3">B1평가지표!$A$1:$J$26</definedName>
    <definedName name="_xlnm.Print_Area" localSheetId="4">B2산업평균비율!$A$1:$R$56</definedName>
    <definedName name="_xlnm.Print_Area" localSheetId="0">안내!$A$1:$I$44</definedName>
    <definedName name="_xlnm.Print_Titles" localSheetId="4">B2산업평균비율!$1:$1</definedName>
    <definedName name="감가상각과소계상_당기">A1기초자료입력!$B$14</definedName>
    <definedName name="감가상각과소계상_전기">A1기초자료입력!$C$14</definedName>
    <definedName name="감가상각과소계상_전전기">A1기초자료입력!$D$14</definedName>
    <definedName name="감가상각적정성_당기">A1기초자료입력!$B$11</definedName>
    <definedName name="감가상각적정성_전기">A1기초자료입력!$C$11</definedName>
    <definedName name="감가상각적정성_전전기">A1기초자료입력!$D$11</definedName>
    <definedName name="감사의견_당기">A1기초자료입력!$B$8</definedName>
    <definedName name="감사의견_전기">A1기초자료입력!$C$8</definedName>
    <definedName name="감사의견_전전기">A1기초자료입력!$D$8</definedName>
    <definedName name="감사인_당기">A1기초자료입력!$B$9</definedName>
    <definedName name="감사인_전기">A1기초자료입력!$C$9</definedName>
    <definedName name="감사인_전전기">A1기초자료입력!$D$9</definedName>
    <definedName name="매출액_당기">A1기초자료입력!$B$49</definedName>
    <definedName name="매출액_전기">A1기초자료입력!$C$49</definedName>
    <definedName name="매출액_전전기">A1기초자료입력!$D$49</definedName>
    <definedName name="매출채권_당기">A1기초자료입력!$B$22</definedName>
    <definedName name="매출채권_전기">A1기초자료입력!$C$22</definedName>
    <definedName name="매출채권_전전기">A1기초자료입력!$D$22</definedName>
    <definedName name="산업분류">B2산업평균비율!$A$2:$A$50</definedName>
    <definedName name="산업평균비율">B2산업평균비율!$A$1:$R$50</definedName>
    <definedName name="유동자산_당기">A1기초자료입력!$B$19</definedName>
    <definedName name="유동자산_전기">A1기초자료입력!$C$19</definedName>
    <definedName name="유동자산_전전기">A1기초자료입력!$D$19</definedName>
    <definedName name="재고자산_당기">A1기초자료입력!$B$23</definedName>
    <definedName name="재고자산_전기">A1기초자료입력!$C$23</definedName>
    <definedName name="재고자산_전전기">A1기초자료입력!$D$23</definedName>
    <definedName name="재무제표_당기">A1기초자료입력!$B$6</definedName>
    <definedName name="재무제표_전기">A1기초자료입력!$C$6</definedName>
    <definedName name="재무제표_전전기">A1기초자료입력!$D$6</definedName>
    <definedName name="퇴직급여과소계상_당기">A1기초자료입력!$B$15</definedName>
    <definedName name="퇴직급여과소계상_전기">A1기초자료입력!$C$15</definedName>
    <definedName name="퇴직급여과소계상_전전기">A1기초자료입력!$D$15</definedName>
    <definedName name="퇴직급여적정성_당기">A1기초자료입력!$B$12</definedName>
    <definedName name="퇴직급여적정성_전기">A1기초자료입력!$C$12</definedName>
    <definedName name="퇴직급여적정성_전전기">A1기초자료입력!$D$12</definedName>
    <definedName name="표준산업분류">A1기초자료입력!$B$2</definedName>
    <definedName name="회계기준_당기">A1기초자료입력!$B$7</definedName>
    <definedName name="회계기준_전기">A1기초자료입력!$C$7</definedName>
    <definedName name="회계기준_전전기">A1기초자료입력!$D$7</definedName>
    <definedName name="회사명">A1기초자료입력!$B$1</definedName>
  </definedNames>
  <calcPr calcId="124519"/>
</workbook>
</file>

<file path=xl/calcChain.xml><?xml version="1.0" encoding="utf-8"?>
<calcChain xmlns="http://schemas.openxmlformats.org/spreadsheetml/2006/main">
  <c r="I5" i="3"/>
  <c r="J5"/>
  <c r="G20" l="1"/>
  <c r="G19"/>
  <c r="G18"/>
  <c r="G16"/>
  <c r="G15"/>
  <c r="G14"/>
  <c r="G12"/>
  <c r="G10"/>
  <c r="G7"/>
  <c r="F20"/>
  <c r="F19"/>
  <c r="F18"/>
  <c r="F16"/>
  <c r="F14"/>
  <c r="F12"/>
  <c r="F10"/>
  <c r="F7"/>
  <c r="E20"/>
  <c r="E19"/>
  <c r="E18"/>
  <c r="E17"/>
  <c r="E16"/>
  <c r="E12"/>
  <c r="E11"/>
  <c r="E10"/>
  <c r="E9"/>
  <c r="E8"/>
  <c r="E7"/>
  <c r="E6"/>
  <c r="E5"/>
  <c r="E4"/>
  <c r="R39" i="4" l="1"/>
  <c r="Q39"/>
  <c r="R40"/>
  <c r="Q40"/>
  <c r="R44"/>
  <c r="Q44"/>
  <c r="R43"/>
  <c r="Q43"/>
  <c r="R41"/>
  <c r="Q41"/>
  <c r="R50"/>
  <c r="Q50"/>
  <c r="R49"/>
  <c r="Q49"/>
  <c r="R48"/>
  <c r="Q48"/>
  <c r="R47"/>
  <c r="Q47"/>
  <c r="R46"/>
  <c r="Q46"/>
  <c r="R45"/>
  <c r="Q45"/>
  <c r="R38"/>
  <c r="Q38"/>
  <c r="R28"/>
  <c r="Q28"/>
  <c r="R27"/>
  <c r="Q27"/>
  <c r="R3"/>
  <c r="Q3"/>
  <c r="F15" i="3"/>
  <c r="B65" i="1"/>
  <c r="B71" s="1"/>
  <c r="A26" i="9"/>
  <c r="A16"/>
  <c r="A6"/>
  <c r="I19" i="3"/>
  <c r="E15"/>
  <c r="E14"/>
  <c r="I14" s="1"/>
  <c r="E13"/>
  <c r="J3"/>
  <c r="I3"/>
  <c r="C65" i="1"/>
  <c r="C71" s="1"/>
  <c r="D65"/>
  <c r="D71" s="1"/>
  <c r="D73" s="1"/>
  <c r="D74" s="1"/>
  <c r="F31" i="9"/>
  <c r="D81" i="1" s="1"/>
  <c r="F7" i="9"/>
  <c r="B77" i="1" s="1"/>
  <c r="F8" i="9"/>
  <c r="B78" i="1" s="1"/>
  <c r="F9" i="9"/>
  <c r="B79" i="1" s="1"/>
  <c r="F10" i="9"/>
  <c r="B80" i="1" s="1"/>
  <c r="F11" i="9"/>
  <c r="B81" i="1" s="1"/>
  <c r="F12" i="9"/>
  <c r="B82" i="1" s="1"/>
  <c r="F13" i="9"/>
  <c r="B83" i="1" s="1"/>
  <c r="C14" i="9"/>
  <c r="B14"/>
  <c r="C34"/>
  <c r="B34"/>
  <c r="B24"/>
  <c r="C24"/>
  <c r="F27"/>
  <c r="D77" i="1" s="1"/>
  <c r="F28" i="9"/>
  <c r="D78" i="1" s="1"/>
  <c r="F29" i="9"/>
  <c r="D79" i="1" s="1"/>
  <c r="F33" i="9"/>
  <c r="D83" i="1" s="1"/>
  <c r="D34" i="9"/>
  <c r="D24"/>
  <c r="F17"/>
  <c r="C77" i="1" s="1"/>
  <c r="F18" i="9"/>
  <c r="C78" i="1" s="1"/>
  <c r="F19" i="9"/>
  <c r="C79" i="1" s="1"/>
  <c r="F20" i="9"/>
  <c r="C80" i="1" s="1"/>
  <c r="F21" i="9"/>
  <c r="C81" i="1" s="1"/>
  <c r="F22" i="9"/>
  <c r="C82" i="1" s="1"/>
  <c r="F23" i="9"/>
  <c r="C83" i="1" s="1"/>
  <c r="D14" i="9"/>
  <c r="D51" i="1"/>
  <c r="D53" s="1"/>
  <c r="D58" s="1"/>
  <c r="D60" s="1"/>
  <c r="D44"/>
  <c r="D37"/>
  <c r="D19"/>
  <c r="D24"/>
  <c r="C51"/>
  <c r="C53" s="1"/>
  <c r="G9" i="3" s="1"/>
  <c r="B51" i="1"/>
  <c r="B53" s="1"/>
  <c r="F9" i="3" s="1"/>
  <c r="C44" i="1"/>
  <c r="B44"/>
  <c r="C37"/>
  <c r="G4" i="3" s="1"/>
  <c r="B37" i="1"/>
  <c r="F4" i="3" s="1"/>
  <c r="C24" i="1"/>
  <c r="B24"/>
  <c r="C19"/>
  <c r="G5" i="3" s="1"/>
  <c r="B19" i="1"/>
  <c r="F5" i="3" s="1"/>
  <c r="E34" i="9"/>
  <c r="E24"/>
  <c r="E14"/>
  <c r="F32"/>
  <c r="D82" i="1" s="1"/>
  <c r="F30" i="9"/>
  <c r="D80" i="1" s="1"/>
  <c r="D76"/>
  <c r="C76"/>
  <c r="B76"/>
  <c r="D63"/>
  <c r="C63"/>
  <c r="B63"/>
  <c r="D48"/>
  <c r="C48"/>
  <c r="B48"/>
  <c r="D18"/>
  <c r="C18"/>
  <c r="B18"/>
  <c r="A1" i="3"/>
  <c r="D21"/>
  <c r="I15" l="1"/>
  <c r="F34" i="9"/>
  <c r="C45" i="1"/>
  <c r="B45"/>
  <c r="B30"/>
  <c r="J4" i="3"/>
  <c r="J10"/>
  <c r="I20"/>
  <c r="B84" i="1"/>
  <c r="I4" i="3"/>
  <c r="I7"/>
  <c r="I9"/>
  <c r="D30" i="1"/>
  <c r="D45"/>
  <c r="J9" i="3"/>
  <c r="I10"/>
  <c r="J15"/>
  <c r="J19"/>
  <c r="H19" s="1"/>
  <c r="J20"/>
  <c r="J12"/>
  <c r="J14"/>
  <c r="H14" s="1"/>
  <c r="I12"/>
  <c r="J7"/>
  <c r="F14" i="9"/>
  <c r="C58" i="1"/>
  <c r="J18" i="3" s="1"/>
  <c r="C72" i="1"/>
  <c r="C73" s="1"/>
  <c r="D84"/>
  <c r="B58"/>
  <c r="I18" i="3" s="1"/>
  <c r="C84" i="1"/>
  <c r="C30"/>
  <c r="F24" i="9"/>
  <c r="D46" i="1" l="1"/>
  <c r="G11" i="3"/>
  <c r="G8"/>
  <c r="G6"/>
  <c r="G17"/>
  <c r="J17" s="1"/>
  <c r="G13"/>
  <c r="F11"/>
  <c r="B46" i="1"/>
  <c r="F17" i="3"/>
  <c r="I17" s="1"/>
  <c r="F13"/>
  <c r="F8"/>
  <c r="I8" s="1"/>
  <c r="F6"/>
  <c r="I6" s="1"/>
  <c r="C46" i="1"/>
  <c r="B72"/>
  <c r="B73" s="1"/>
  <c r="B74" s="1"/>
  <c r="C74"/>
  <c r="C60"/>
  <c r="H10" i="3"/>
  <c r="H20"/>
  <c r="I16"/>
  <c r="J6"/>
  <c r="J13"/>
  <c r="I11"/>
  <c r="J8"/>
  <c r="J16"/>
  <c r="J11"/>
  <c r="I13"/>
  <c r="H12"/>
  <c r="H15"/>
  <c r="H9"/>
  <c r="H5"/>
  <c r="H7"/>
  <c r="H4"/>
  <c r="H18"/>
  <c r="B60" i="1"/>
  <c r="F46" l="1"/>
  <c r="H6" i="3"/>
  <c r="F74" i="1"/>
  <c r="H16" i="3"/>
  <c r="H17"/>
  <c r="H13"/>
  <c r="H8"/>
  <c r="J21"/>
  <c r="H11"/>
  <c r="I21"/>
  <c r="H21" l="1"/>
</calcChain>
</file>

<file path=xl/sharedStrings.xml><?xml version="1.0" encoding="utf-8"?>
<sst xmlns="http://schemas.openxmlformats.org/spreadsheetml/2006/main" count="271" uniqueCount="238">
  <si>
    <t>총자산세전이익률</t>
  </si>
  <si>
    <t>구분</t>
  </si>
  <si>
    <t>회사가 속한 산업분류를 선택</t>
    <phoneticPr fontId="2" type="noConversion"/>
  </si>
  <si>
    <t>제출된 재무제표의 종류</t>
    <phoneticPr fontId="2" type="noConversion"/>
  </si>
  <si>
    <t>회사명</t>
    <phoneticPr fontId="2" type="noConversion"/>
  </si>
  <si>
    <t>평가대상회사의 명칭을 기재(주식회사 ***)</t>
    <phoneticPr fontId="2" type="noConversion"/>
  </si>
  <si>
    <t>비유동부채</t>
    <phoneticPr fontId="2" type="noConversion"/>
  </si>
  <si>
    <t>금융기관차입금, 사채(전환,신주인수권부사채 포함), 주주임원단기차입금, 가수금 등 포함</t>
    <phoneticPr fontId="2" type="noConversion"/>
  </si>
  <si>
    <t>자본잉여금</t>
    <phoneticPr fontId="2" type="noConversion"/>
  </si>
  <si>
    <t>이익잉여금</t>
    <phoneticPr fontId="2" type="noConversion"/>
  </si>
  <si>
    <t>자본조정</t>
    <phoneticPr fontId="2" type="noConversion"/>
  </si>
  <si>
    <t>기타포괄손익누계액</t>
    <phoneticPr fontId="2" type="noConversion"/>
  </si>
  <si>
    <t>판매비와관리비</t>
    <phoneticPr fontId="2" type="noConversion"/>
  </si>
  <si>
    <t>영업외수익</t>
    <phoneticPr fontId="2" type="noConversion"/>
  </si>
  <si>
    <t>법인세비용</t>
    <phoneticPr fontId="2" type="noConversion"/>
  </si>
  <si>
    <t>투자활동현금흐름</t>
    <phoneticPr fontId="2" type="noConversion"/>
  </si>
  <si>
    <t>재무활동현금흐름</t>
    <phoneticPr fontId="2" type="noConversion"/>
  </si>
  <si>
    <t>현금의 증가(감소)</t>
    <phoneticPr fontId="2" type="noConversion"/>
  </si>
  <si>
    <t>기초의 현금</t>
    <phoneticPr fontId="2" type="noConversion"/>
  </si>
  <si>
    <t>기말의 현금</t>
    <phoneticPr fontId="2" type="noConversion"/>
  </si>
  <si>
    <t>합계</t>
    <phoneticPr fontId="2" type="noConversion"/>
  </si>
  <si>
    <t>감가상각비를 적정하게 계상하였는지 여부(YES/NO/NA)</t>
    <phoneticPr fontId="2" type="noConversion"/>
  </si>
  <si>
    <t>퇴직급여충당부채를 적정하게 계상하였는지 여부(YES/NO/NA)</t>
    <phoneticPr fontId="2" type="noConversion"/>
  </si>
  <si>
    <t>외부감사인의 감사의견</t>
    <phoneticPr fontId="2" type="noConversion"/>
  </si>
  <si>
    <t>외부감사인의 명칭</t>
    <phoneticPr fontId="2" type="noConversion"/>
  </si>
  <si>
    <t>제출한 재무제표의 종류를 기재(감사보고서/검토보고서/재무제표확인원/가결산/미제출)</t>
    <phoneticPr fontId="2" type="noConversion"/>
  </si>
  <si>
    <t>비유동자산</t>
    <phoneticPr fontId="2" type="noConversion"/>
  </si>
  <si>
    <t>자본금</t>
    <phoneticPr fontId="2" type="noConversion"/>
  </si>
  <si>
    <t>매출원가</t>
    <phoneticPr fontId="2" type="noConversion"/>
  </si>
  <si>
    <t>영업외비용</t>
    <phoneticPr fontId="2" type="noConversion"/>
  </si>
  <si>
    <t>유동자산*</t>
    <phoneticPr fontId="2" type="noConversion"/>
  </si>
  <si>
    <t>자산총계*</t>
    <phoneticPr fontId="2" type="noConversion"/>
  </si>
  <si>
    <t>유동부채*</t>
    <phoneticPr fontId="2" type="noConversion"/>
  </si>
  <si>
    <t>부채총계*</t>
    <phoneticPr fontId="2" type="noConversion"/>
  </si>
  <si>
    <t>자본총계*</t>
    <phoneticPr fontId="2" type="noConversion"/>
  </si>
  <si>
    <t>영업이익*</t>
    <phoneticPr fontId="2" type="noConversion"/>
  </si>
  <si>
    <t>법인세비용차감전순이익*</t>
    <phoneticPr fontId="2" type="noConversion"/>
  </si>
  <si>
    <t>당기순이익*</t>
    <phoneticPr fontId="2" type="noConversion"/>
  </si>
  <si>
    <t>급여*</t>
    <phoneticPr fontId="2" type="noConversion"/>
  </si>
  <si>
    <t>퇴직급여*</t>
    <phoneticPr fontId="2" type="noConversion"/>
  </si>
  <si>
    <t>복리후생비*</t>
    <phoneticPr fontId="2" type="noConversion"/>
  </si>
  <si>
    <t>임차료*</t>
    <phoneticPr fontId="2" type="noConversion"/>
  </si>
  <si>
    <t>감가상각비*</t>
    <phoneticPr fontId="2" type="noConversion"/>
  </si>
  <si>
    <t>무형자산상각비*</t>
    <phoneticPr fontId="2" type="noConversion"/>
  </si>
  <si>
    <t>세금과공과*</t>
    <phoneticPr fontId="2" type="noConversion"/>
  </si>
  <si>
    <t>기타 회사의 재무자료 이해를 위해 필요한 정보를 자유롭게 입력</t>
    <phoneticPr fontId="2" type="noConversion"/>
  </si>
  <si>
    <t>유무형자산(토지, 건물, 기계장치 등)의 처분에 따른 현금유입액(+로 기재)</t>
    <phoneticPr fontId="2" type="noConversion"/>
  </si>
  <si>
    <t>유무형자산(토지, 건물, 기계장치 등)의 취득에 따른 현금유출액(+로 기재)</t>
    <phoneticPr fontId="2" type="noConversion"/>
  </si>
  <si>
    <t>현금흐름표상 투자활동 현금유입</t>
    <phoneticPr fontId="2" type="noConversion"/>
  </si>
  <si>
    <t>현금흐름표상 투자활동 현금유출</t>
    <phoneticPr fontId="2" type="noConversion"/>
  </si>
  <si>
    <t>기타 항목은 수식으로 Link되어 있으므로 별도로 입력할 필요 없음</t>
    <phoneticPr fontId="2" type="noConversion"/>
  </si>
  <si>
    <t>영업활동현금흐름*</t>
    <phoneticPr fontId="2" type="noConversion"/>
  </si>
  <si>
    <t>재무제표에 대한 감사보고서상 감사의견을 기재(적정/한정/의견거절/부적정)</t>
    <phoneticPr fontId="2" type="noConversion"/>
  </si>
  <si>
    <t>대손충당금을 차감한 순액으로 입력</t>
    <phoneticPr fontId="2" type="noConversion"/>
  </si>
  <si>
    <t>재고자산평가손실충당금을 차감한 순액으로 입력</t>
    <phoneticPr fontId="2" type="noConversion"/>
  </si>
  <si>
    <t>감가상각누계액을 차감한 순액으로 입력</t>
    <phoneticPr fontId="2" type="noConversion"/>
  </si>
  <si>
    <t>판매비와관리비</t>
    <phoneticPr fontId="4" type="noConversion"/>
  </si>
  <si>
    <t>제조원가</t>
    <phoneticPr fontId="4" type="noConversion"/>
  </si>
  <si>
    <t>경상개발비</t>
    <phoneticPr fontId="4" type="noConversion"/>
  </si>
  <si>
    <t>개발비</t>
    <phoneticPr fontId="4" type="noConversion"/>
  </si>
  <si>
    <t>합계</t>
    <phoneticPr fontId="4" type="noConversion"/>
  </si>
  <si>
    <t>무형자산상각비</t>
    <phoneticPr fontId="2" type="noConversion"/>
  </si>
  <si>
    <t>퇴직급여충당부채 과소계상액</t>
    <phoneticPr fontId="2" type="noConversion"/>
  </si>
  <si>
    <t>감가상각비 과소계상액</t>
    <phoneticPr fontId="2" type="noConversion"/>
  </si>
  <si>
    <t>퇴직급여충당부채를 과소계상한 경우 각 사업연도말 기준 과소계상액 누적금액을 기재</t>
    <phoneticPr fontId="2" type="noConversion"/>
  </si>
  <si>
    <t>감가상각비 과소계상한 경우 각 사업연도말 기준 과소계상액 누적금액을 기재</t>
    <phoneticPr fontId="2" type="noConversion"/>
  </si>
  <si>
    <t>재무재표에 대한 기본정보</t>
    <phoneticPr fontId="2" type="noConversion"/>
  </si>
  <si>
    <t>평가지표</t>
  </si>
  <si>
    <t>평가항목</t>
  </si>
  <si>
    <t>배점</t>
  </si>
  <si>
    <t>안정성</t>
  </si>
  <si>
    <t>부채비율</t>
  </si>
  <si>
    <t>유동비율</t>
  </si>
  <si>
    <t>(유동자산/유동부채)×100</t>
  </si>
  <si>
    <t>차입금의존도</t>
  </si>
  <si>
    <t>(총차입금/자산총계)×100</t>
  </si>
  <si>
    <t>수익성</t>
  </si>
  <si>
    <t>매출액영업이익률</t>
  </si>
  <si>
    <t>(영업이익/매출액)×100</t>
  </si>
  <si>
    <t>이자보상비율</t>
  </si>
  <si>
    <t>(영업이익/이자비용)×100</t>
  </si>
  <si>
    <t>성장성</t>
  </si>
  <si>
    <t>매출액증가율</t>
  </si>
  <si>
    <t>총자산증가율</t>
  </si>
  <si>
    <t>유형자산증가율</t>
  </si>
  <si>
    <t>활동성</t>
  </si>
  <si>
    <t>총자산회전율</t>
  </si>
  <si>
    <t>매출채권회전율</t>
  </si>
  <si>
    <t>재고자산회전율</t>
  </si>
  <si>
    <t>생산성</t>
  </si>
  <si>
    <t>부가가치율</t>
  </si>
  <si>
    <t>총자본투자효율</t>
  </si>
  <si>
    <t>설비투자효율</t>
  </si>
  <si>
    <t>현금흐름</t>
  </si>
  <si>
    <t>현금흐름보상비율</t>
  </si>
  <si>
    <t>투자안정성비율</t>
  </si>
  <si>
    <t>합                   계</t>
  </si>
  <si>
    <t>(부가가치/자산총계)×100</t>
  </si>
  <si>
    <t>[부가가치/(유형자산-건설중인자산)]×100</t>
  </si>
  <si>
    <t>평가대상기업</t>
    <phoneticPr fontId="2" type="noConversion"/>
  </si>
  <si>
    <t>평 가 지 표</t>
    <phoneticPr fontId="2" type="noConversion"/>
  </si>
  <si>
    <t>산업평균</t>
    <phoneticPr fontId="2" type="noConversion"/>
  </si>
  <si>
    <t>평 가 요 소</t>
    <phoneticPr fontId="2" type="noConversion"/>
  </si>
  <si>
    <t>표준산업분류</t>
    <phoneticPr fontId="2" type="noConversion"/>
  </si>
  <si>
    <t>급여</t>
    <phoneticPr fontId="2" type="noConversion"/>
  </si>
  <si>
    <t>퇴직급여</t>
    <phoneticPr fontId="2" type="noConversion"/>
  </si>
  <si>
    <t>복리후생비</t>
    <phoneticPr fontId="2" type="noConversion"/>
  </si>
  <si>
    <t>임차료</t>
    <phoneticPr fontId="2" type="noConversion"/>
  </si>
  <si>
    <t>감가상각비</t>
    <phoneticPr fontId="2" type="noConversion"/>
  </si>
  <si>
    <t>평가점수</t>
    <phoneticPr fontId="2" type="noConversion"/>
  </si>
  <si>
    <t>평균</t>
    <phoneticPr fontId="2" type="noConversion"/>
  </si>
  <si>
    <t>2009년</t>
    <phoneticPr fontId="2" type="noConversion"/>
  </si>
  <si>
    <t>(부채총계/자기자본)×100</t>
    <phoneticPr fontId="2" type="noConversion"/>
  </si>
  <si>
    <t>총자산세전이익률</t>
    <phoneticPr fontId="2" type="noConversion"/>
  </si>
  <si>
    <t>(법인세비용차감전순이익/자산총계)×100</t>
    <phoneticPr fontId="2" type="noConversion"/>
  </si>
  <si>
    <t>(당기매출액/전기매출액)×100 - 100</t>
    <phoneticPr fontId="2" type="noConversion"/>
  </si>
  <si>
    <t>(당기자산총계/전기자산총계)×100 - 100</t>
    <phoneticPr fontId="2" type="noConversion"/>
  </si>
  <si>
    <t>(당기말유형자산/전기말유형자산) ×100 - 100</t>
    <phoneticPr fontId="2" type="noConversion"/>
  </si>
  <si>
    <t>매출액/자산총계</t>
    <phoneticPr fontId="2" type="noConversion"/>
  </si>
  <si>
    <t>매출액/매출채권</t>
    <phoneticPr fontId="2" type="noConversion"/>
  </si>
  <si>
    <t>매출액/재고자산</t>
    <phoneticPr fontId="2" type="noConversion"/>
  </si>
  <si>
    <t>(부가가치/매출액)×100</t>
    <phoneticPr fontId="2" type="noConversion"/>
  </si>
  <si>
    <t>[(영업현금흐름+이자비용)/(단기차입금+이자비용)]×100</t>
    <phoneticPr fontId="2" type="noConversion"/>
  </si>
  <si>
    <t>(영업활동현금흐름/유형자산 순투자지출) ×100</t>
    <phoneticPr fontId="2" type="noConversion"/>
  </si>
  <si>
    <t>C10 식료품</t>
  </si>
  <si>
    <t>C11 음료</t>
  </si>
  <si>
    <t>C13 섬유제품(의복제외)</t>
  </si>
  <si>
    <t>C14 의복, 의복액세서리 및 모피제품</t>
  </si>
  <si>
    <t>C15 가죽, 가방 및 신발</t>
  </si>
  <si>
    <t>C16 목재 및 나무제품(가구 제외)</t>
  </si>
  <si>
    <t>C17 펄프, 종이 및 종이제품</t>
  </si>
  <si>
    <t>C19 코크스, 연탄 및 석유정제품</t>
  </si>
  <si>
    <t>C20 화학물질 및 화학제품(의약품 제외)</t>
  </si>
  <si>
    <t>C21 의료용 물질 및 의약품</t>
  </si>
  <si>
    <t>C22 고무제품 및 플라스틱제품</t>
  </si>
  <si>
    <t>C23 비금속 광물제품</t>
  </si>
  <si>
    <t>C24 1차 금속</t>
  </si>
  <si>
    <t>C25 금속가공제품(기계 및 가구 제외)</t>
  </si>
  <si>
    <t>C26 전자부품, 컴퓨터, 영상, 음향 및 통신장비</t>
  </si>
  <si>
    <t>C27 의료, 정밀, 광학기기 및 시계</t>
  </si>
  <si>
    <t>C28 전기장비</t>
  </si>
  <si>
    <t>C29 기타 기계 및 장비</t>
  </si>
  <si>
    <t>C30 자동차 및 트레일러</t>
  </si>
  <si>
    <t>C31 기타 운송장비</t>
  </si>
  <si>
    <t>C32 가구</t>
  </si>
  <si>
    <t>C33 기타 제품 제조업</t>
  </si>
  <si>
    <t>D35 전기, 가스, 증기 및 공기조절 공급업</t>
  </si>
  <si>
    <t>I55 숙박업</t>
  </si>
  <si>
    <t>L 부동산업 및 임대업</t>
  </si>
  <si>
    <t>N 사업시설관리 및 사업지원 서비스업</t>
  </si>
  <si>
    <t>R 예술, 스포츠 및 여가관련 서비스업</t>
  </si>
  <si>
    <t>A03 어업</t>
  </si>
  <si>
    <t>B 광업</t>
  </si>
  <si>
    <t>C18 인쇄 및 기록매체 복제업</t>
  </si>
  <si>
    <t>E 하수 ・ 폐기물 처리, 원료재생 및 환경복원업</t>
  </si>
  <si>
    <t>F41 종합 건설업</t>
  </si>
  <si>
    <t>F42 전문직별 공사업</t>
  </si>
  <si>
    <t>G45 자동차 및 부품 판매업</t>
  </si>
  <si>
    <t>G46 도매 및 상품중개업</t>
  </si>
  <si>
    <t>G47 소매업(자동차 제외)</t>
  </si>
  <si>
    <t>H49 육상운송업(철도운송업 제외)</t>
  </si>
  <si>
    <t>H50 수상 운송업</t>
  </si>
  <si>
    <t>H51 항공 운송업</t>
  </si>
  <si>
    <t>H52 창고 및 운송관련 서비스업</t>
  </si>
  <si>
    <t>J58 출판업</t>
  </si>
  <si>
    <t>J59 영상 ・ 오디오 기록물 제작 및 배급업</t>
  </si>
  <si>
    <t>J60 방송업</t>
  </si>
  <si>
    <t>J612 전기통신업</t>
  </si>
  <si>
    <t>J62 컴퓨터 프로그래밍, 시스템 통합 및 관리업</t>
  </si>
  <si>
    <t>J63 정보서비스업</t>
  </si>
  <si>
    <t>M71 전문서비스업</t>
  </si>
  <si>
    <t>M72 건축기술, 엔지니어링 및 기타 과학기술 서비스업</t>
  </si>
  <si>
    <t>M73 기타 전문, 과학 및 기술 서비스업</t>
  </si>
  <si>
    <t>[별지 제3호 서식]</t>
    <phoneticPr fontId="4" type="noConversion"/>
  </si>
  <si>
    <t>2010년</t>
    <phoneticPr fontId="2" type="noConversion"/>
  </si>
  <si>
    <t>2011년</t>
    <phoneticPr fontId="2" type="noConversion"/>
  </si>
  <si>
    <t>회계기준</t>
    <phoneticPr fontId="2" type="noConversion"/>
  </si>
  <si>
    <t>제출한 재무제표의 회계기준을 기재(일반기업회계기준/국제회계기준/기업회계기준)</t>
    <phoneticPr fontId="2" type="noConversion"/>
  </si>
  <si>
    <t>외부감사인의 명칭을 기재(예, **회계법인)</t>
    <phoneticPr fontId="2" type="noConversion"/>
  </si>
  <si>
    <t>종합의견</t>
    <phoneticPr fontId="2" type="noConversion"/>
  </si>
  <si>
    <t>판매비와관리비</t>
    <phoneticPr fontId="4" type="noConversion"/>
  </si>
  <si>
    <t>제조원가</t>
    <phoneticPr fontId="4" type="noConversion"/>
  </si>
  <si>
    <t>경상개발비</t>
    <phoneticPr fontId="4" type="noConversion"/>
  </si>
  <si>
    <t>개발비</t>
    <phoneticPr fontId="4" type="noConversion"/>
  </si>
  <si>
    <t>합계</t>
    <phoneticPr fontId="4" type="noConversion"/>
  </si>
  <si>
    <t>세금과공과</t>
    <phoneticPr fontId="2" type="noConversion"/>
  </si>
  <si>
    <t>부채비율</t>
    <phoneticPr fontId="4" type="noConversion"/>
  </si>
  <si>
    <t>차입금
의존도</t>
    <phoneticPr fontId="4" type="noConversion"/>
  </si>
  <si>
    <t>급여</t>
    <phoneticPr fontId="2" type="noConversion"/>
  </si>
  <si>
    <t>퇴직급여</t>
    <phoneticPr fontId="2" type="noConversion"/>
  </si>
  <si>
    <t>복리후생비</t>
    <phoneticPr fontId="2" type="noConversion"/>
  </si>
  <si>
    <t>임차료</t>
    <phoneticPr fontId="2" type="noConversion"/>
  </si>
  <si>
    <t>감가상각비</t>
    <phoneticPr fontId="2" type="noConversion"/>
  </si>
  <si>
    <t>무형자산상각비</t>
    <phoneticPr fontId="2" type="noConversion"/>
  </si>
  <si>
    <t>세금과공과</t>
    <phoneticPr fontId="2" type="noConversion"/>
  </si>
  <si>
    <t>합계</t>
    <phoneticPr fontId="2" type="noConversion"/>
  </si>
  <si>
    <t>재무건전성 자체평가표</t>
  </si>
  <si>
    <t>(재)대구테크노파크 부설</t>
    <phoneticPr fontId="4" type="noConversion"/>
  </si>
  <si>
    <t>지역산업평가단</t>
    <phoneticPr fontId="4" type="noConversion"/>
  </si>
  <si>
    <t>2009년 기초의 현금을 입력</t>
    <phoneticPr fontId="2" type="noConversion"/>
  </si>
  <si>
    <t>* 본 파일은 Microsoft Excel 2007 이상 버전에서 최적화되어있습니다.</t>
    <phoneticPr fontId="4" type="noConversion"/>
  </si>
  <si>
    <t>매출총이익</t>
    <phoneticPr fontId="2" type="noConversion"/>
  </si>
  <si>
    <t>부채와자본총계</t>
    <phoneticPr fontId="2" type="noConversion"/>
  </si>
  <si>
    <t>감가상각비 적정성</t>
    <phoneticPr fontId="2" type="noConversion"/>
  </si>
  <si>
    <t>퇴직급여충당부채 적정성</t>
    <phoneticPr fontId="2" type="noConversion"/>
  </si>
  <si>
    <t>손익계산서상 매출액(다만, 유상사급거래의 경우 유상사급매입액을 차감한 금액)</t>
    <phoneticPr fontId="2" type="noConversion"/>
  </si>
  <si>
    <t xml:space="preserve">   당좌자산</t>
    <phoneticPr fontId="2" type="noConversion"/>
  </si>
  <si>
    <t xml:space="preserve">      현금및현금등가물</t>
    <phoneticPr fontId="2" type="noConversion"/>
  </si>
  <si>
    <t xml:space="preserve">      매출채권*</t>
    <phoneticPr fontId="2" type="noConversion"/>
  </si>
  <si>
    <t xml:space="preserve">   재고자산*</t>
    <phoneticPr fontId="2" type="noConversion"/>
  </si>
  <si>
    <t xml:space="preserve">   투자자산</t>
    <phoneticPr fontId="2" type="noConversion"/>
  </si>
  <si>
    <t xml:space="preserve">   유형자산*</t>
    <phoneticPr fontId="2" type="noConversion"/>
  </si>
  <si>
    <t xml:space="preserve">      건설중인자산*</t>
    <phoneticPr fontId="2" type="noConversion"/>
  </si>
  <si>
    <t xml:space="preserve">   무형자산</t>
    <phoneticPr fontId="2" type="noConversion"/>
  </si>
  <si>
    <t xml:space="preserve">   기타비유동자산</t>
    <phoneticPr fontId="2" type="noConversion"/>
  </si>
  <si>
    <t xml:space="preserve">   단기차입금*</t>
    <phoneticPr fontId="2" type="noConversion"/>
  </si>
  <si>
    <t xml:space="preserve">   유동성장기부채*</t>
    <phoneticPr fontId="2" type="noConversion"/>
  </si>
  <si>
    <t xml:space="preserve">   장기차입금*</t>
    <phoneticPr fontId="2" type="noConversion"/>
  </si>
  <si>
    <t xml:space="preserve">   이자수익*</t>
    <phoneticPr fontId="2" type="noConversion"/>
  </si>
  <si>
    <t xml:space="preserve">   이자비용*</t>
    <phoneticPr fontId="2" type="noConversion"/>
  </si>
  <si>
    <t xml:space="preserve">   투자활동현금 유입</t>
    <phoneticPr fontId="2" type="noConversion"/>
  </si>
  <si>
    <t xml:space="preserve">      유형자산의 처분*</t>
    <phoneticPr fontId="2" type="noConversion"/>
  </si>
  <si>
    <t xml:space="preserve">   투자활동 현금 유출</t>
    <phoneticPr fontId="2" type="noConversion"/>
  </si>
  <si>
    <t xml:space="preserve">      유형자산의 취득*</t>
    <phoneticPr fontId="2" type="noConversion"/>
  </si>
  <si>
    <t>무형자산인 개발비로 계상하거나 손익계산서상 경상개발비 등으로 처리한 급여 등이 있는 경우에는 당해 금액을 포함</t>
    <phoneticPr fontId="2" type="noConversion"/>
  </si>
  <si>
    <t>하여 기재합니다.</t>
    <phoneticPr fontId="4" type="noConversion"/>
  </si>
  <si>
    <t>현금흐름비율을 공표하지 않는 업종은 동일 분류내의 유사한 업종의 비율을 사용하였으며, 유사한 업종의 비율이 없는 경우에는 제조업 평균비율("C 제조업")을 적용함</t>
    <phoneticPr fontId="4" type="noConversion"/>
  </si>
  <si>
    <t>출처: 국가통계포털(http://kosis.kr/index/index.jsp)</t>
    <phoneticPr fontId="4" type="noConversion"/>
  </si>
  <si>
    <t>기타 회사의 재무자료를 이해하기 위해 필요한 정보</t>
    <phoneticPr fontId="2" type="noConversion"/>
  </si>
  <si>
    <t>손익계산서(단위: 천원)</t>
    <phoneticPr fontId="2" type="noConversion"/>
  </si>
  <si>
    <t>재무상태표(단위: 천원)</t>
    <phoneticPr fontId="2" type="noConversion"/>
  </si>
  <si>
    <t>현금흐름표(단위: 천원)</t>
    <phoneticPr fontId="2" type="noConversion"/>
  </si>
  <si>
    <t>부가가치계산 항목(단위: 천원)</t>
    <phoneticPr fontId="2" type="noConversion"/>
  </si>
  <si>
    <t>별도로 첨부된 부가가치계산항목 Sheet를 이용하여 입력</t>
    <phoneticPr fontId="2" type="noConversion"/>
  </si>
  <si>
    <t>(단위: 천원)</t>
    <phoneticPr fontId="2" type="noConversion"/>
  </si>
  <si>
    <t>(별첨) 부가가치계산에 필요한 항목</t>
    <phoneticPr fontId="4" type="noConversion"/>
  </si>
  <si>
    <t>매출액*</t>
    <phoneticPr fontId="2" type="noConversion"/>
  </si>
  <si>
    <t>2012년 3월</t>
    <phoneticPr fontId="4" type="noConversion"/>
  </si>
</sst>
</file>

<file path=xl/styles.xml><?xml version="1.0" encoding="utf-8"?>
<styleSheet xmlns="http://schemas.openxmlformats.org/spreadsheetml/2006/main">
  <numFmts count="10">
    <numFmt numFmtId="42" formatCode="_-&quot;₩&quot;* #,##0_-;\-&quot;₩&quot;* #,##0_-;_-&quot;₩&quot;* &quot;-&quot;_-;_-@_-"/>
    <numFmt numFmtId="41" formatCode="_-* #,##0_-;\-* #,##0_-;_-* &quot;-&quot;_-;_-@_-"/>
    <numFmt numFmtId="176" formatCode="#,##0_);\(#,##0\);\-_);@_)"/>
    <numFmt numFmtId="177" formatCode="#,##0,,_);\(#,##0,,\);\-_);@_)"/>
    <numFmt numFmtId="178" formatCode="#,##0,_);\(#,##0,\);\-_);@_)"/>
    <numFmt numFmtId="179" formatCode="0.0%"/>
    <numFmt numFmtId="180" formatCode="#,##0.00_);\(#,##0.00\);\-_);@_)"/>
    <numFmt numFmtId="181" formatCode="0_);[Red]\(0\)"/>
    <numFmt numFmtId="182" formatCode="&quot;접수번호 : &quot;#"/>
    <numFmt numFmtId="183" formatCode="#,##0.0_);\(#,##0.0\);\-_);@_)"/>
  </numFmts>
  <fonts count="32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8"/>
      <name val="돋움체"/>
      <family val="3"/>
      <charset val="129"/>
    </font>
    <font>
      <sz val="11"/>
      <color theme="1"/>
      <name val="맑은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2"/>
      <color theme="3"/>
      <name val="맑은 고딕"/>
      <family val="3"/>
      <charset val="129"/>
      <scheme val="minor"/>
    </font>
    <font>
      <sz val="13"/>
      <color theme="1"/>
      <name val="맑은 고딕"/>
      <family val="2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20"/>
      <color theme="3"/>
      <name val="맑은 고딕"/>
      <family val="2"/>
      <charset val="129"/>
      <scheme val="major"/>
    </font>
    <font>
      <sz val="7"/>
      <color theme="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/>
      <right style="thin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/>
      <top style="medium">
        <color theme="4"/>
      </top>
      <bottom style="hair">
        <color theme="4"/>
      </bottom>
      <diagonal/>
    </border>
    <border>
      <left/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/>
      <top style="hair">
        <color theme="4"/>
      </top>
      <bottom style="hair">
        <color theme="4"/>
      </bottom>
      <diagonal/>
    </border>
    <border>
      <left/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/>
      <top style="hair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/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thin">
        <color theme="4"/>
      </right>
      <top/>
      <bottom style="hair">
        <color theme="4"/>
      </bottom>
      <diagonal/>
    </border>
    <border>
      <left/>
      <right/>
      <top style="medium">
        <color theme="4"/>
      </top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medium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medium">
        <color theme="4"/>
      </bottom>
      <diagonal/>
    </border>
    <border>
      <left style="hair">
        <color theme="4"/>
      </left>
      <right/>
      <top style="thin">
        <color theme="4"/>
      </top>
      <bottom style="medium">
        <color theme="4"/>
      </bottom>
      <diagonal/>
    </border>
    <border>
      <left style="hair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/>
      <top style="medium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/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/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/>
      <top/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/>
      <top style="thin">
        <color theme="4"/>
      </top>
      <bottom style="thin">
        <color theme="4"/>
      </bottom>
      <diagonal/>
    </border>
  </borders>
  <cellStyleXfs count="61">
    <xf numFmtId="176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6" borderId="1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9" borderId="2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5" fillId="0" borderId="4" applyNumberFormat="0" applyFill="0" applyAlignment="0" applyProtection="0">
      <alignment vertical="center"/>
    </xf>
    <xf numFmtId="0" fontId="16" fillId="30" borderId="1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6" borderId="8" applyNumberFormat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6" fillId="0" borderId="9" applyNumberFormat="0" applyFont="0" applyFill="0" applyAlignment="0" applyProtection="0">
      <alignment vertical="center"/>
    </xf>
    <xf numFmtId="176" fontId="6" fillId="0" borderId="10" applyNumberFormat="0" applyFont="0" applyFill="0" applyAlignment="0" applyProtection="0">
      <alignment vertical="center"/>
    </xf>
    <xf numFmtId="176" fontId="6" fillId="0" borderId="4" applyNumberFormat="0" applyFont="0" applyFill="0" applyAlignment="0" applyProtection="0">
      <alignment vertical="center"/>
    </xf>
    <xf numFmtId="176" fontId="6" fillId="0" borderId="11" applyNumberFormat="0" applyFont="0" applyFill="0" applyAlignment="0" applyProtection="0">
      <alignment vertical="center"/>
    </xf>
    <xf numFmtId="176" fontId="6" fillId="0" borderId="12" applyNumberFormat="0" applyFont="0" applyFill="0" applyAlignment="0" applyProtection="0">
      <alignment vertical="center"/>
    </xf>
    <xf numFmtId="176" fontId="6" fillId="0" borderId="13" applyNumberFormat="0" applyFont="0" applyFill="0" applyProtection="0">
      <alignment horizontal="centerContinuous" vertical="center"/>
    </xf>
    <xf numFmtId="176" fontId="6" fillId="0" borderId="14">
      <alignment vertical="center"/>
    </xf>
    <xf numFmtId="49" fontId="8" fillId="0" borderId="0" applyFill="0" applyBorder="0" applyAlignment="0" applyProtection="0">
      <alignment vertical="center"/>
    </xf>
  </cellStyleXfs>
  <cellXfs count="129">
    <xf numFmtId="176" fontId="0" fillId="0" borderId="0" xfId="0">
      <alignment vertical="center"/>
    </xf>
    <xf numFmtId="176" fontId="23" fillId="0" borderId="0" xfId="0" applyFont="1">
      <alignment vertical="center"/>
    </xf>
    <xf numFmtId="176" fontId="23" fillId="0" borderId="0" xfId="0" applyFont="1" applyFill="1">
      <alignment vertical="center"/>
    </xf>
    <xf numFmtId="176" fontId="23" fillId="32" borderId="0" xfId="0" applyFont="1" applyFill="1" applyAlignment="1" applyProtection="1">
      <alignment horizontal="right" vertical="center"/>
      <protection locked="0"/>
    </xf>
    <xf numFmtId="176" fontId="23" fillId="32" borderId="0" xfId="0" applyFont="1" applyFill="1" applyProtection="1">
      <alignment vertical="center"/>
      <protection locked="0"/>
    </xf>
    <xf numFmtId="176" fontId="23" fillId="32" borderId="0" xfId="0" applyFont="1" applyFill="1" applyBorder="1" applyProtection="1">
      <alignment vertical="center"/>
      <protection locked="0"/>
    </xf>
    <xf numFmtId="176" fontId="23" fillId="0" borderId="0" xfId="0" applyFont="1" applyFill="1" applyProtection="1">
      <alignment vertical="center"/>
      <protection locked="0"/>
    </xf>
    <xf numFmtId="176" fontId="24" fillId="0" borderId="0" xfId="0" applyFont="1">
      <alignment vertical="center"/>
    </xf>
    <xf numFmtId="176" fontId="24" fillId="0" borderId="0" xfId="0" applyFont="1" applyFill="1">
      <alignment vertical="center"/>
    </xf>
    <xf numFmtId="176" fontId="24" fillId="0" borderId="0" xfId="0" applyFont="1" applyFill="1" applyBorder="1">
      <alignment vertical="center"/>
    </xf>
    <xf numFmtId="176" fontId="24" fillId="0" borderId="12" xfId="57" applyFont="1">
      <alignment vertical="center"/>
    </xf>
    <xf numFmtId="176" fontId="6" fillId="0" borderId="13" xfId="58" applyBorder="1">
      <alignment horizontal="centerContinuous" vertical="center"/>
    </xf>
    <xf numFmtId="176" fontId="6" fillId="0" borderId="19" xfId="58" applyBorder="1">
      <alignment horizontal="centerContinuous" vertical="center"/>
    </xf>
    <xf numFmtId="176" fontId="6" fillId="0" borderId="14" xfId="59" applyBorder="1">
      <alignment vertical="center"/>
    </xf>
    <xf numFmtId="176" fontId="6" fillId="0" borderId="17" xfId="59" applyBorder="1">
      <alignment vertical="center"/>
    </xf>
    <xf numFmtId="176" fontId="25" fillId="0" borderId="0" xfId="0" applyFont="1">
      <alignment vertical="center"/>
    </xf>
    <xf numFmtId="176" fontId="6" fillId="0" borderId="14" xfId="59" applyBorder="1" applyAlignment="1">
      <alignment horizontal="center" vertical="center"/>
    </xf>
    <xf numFmtId="176" fontId="6" fillId="0" borderId="16" xfId="59" applyBorder="1" applyAlignment="1">
      <alignment horizontal="centerContinuous" vertical="center"/>
    </xf>
    <xf numFmtId="176" fontId="6" fillId="0" borderId="14" xfId="59" applyBorder="1" applyAlignment="1">
      <alignment horizontal="centerContinuous" vertical="center"/>
    </xf>
    <xf numFmtId="180" fontId="24" fillId="0" borderId="23" xfId="0" applyNumberFormat="1" applyFont="1" applyBorder="1" applyAlignment="1">
      <alignment vertical="center"/>
    </xf>
    <xf numFmtId="180" fontId="24" fillId="0" borderId="22" xfId="0" applyNumberFormat="1" applyFont="1" applyBorder="1" applyAlignment="1">
      <alignment vertical="center"/>
    </xf>
    <xf numFmtId="180" fontId="24" fillId="0" borderId="17" xfId="0" applyNumberFormat="1" applyFont="1" applyBorder="1" applyAlignment="1">
      <alignment vertical="center"/>
    </xf>
    <xf numFmtId="180" fontId="24" fillId="33" borderId="22" xfId="0" applyNumberFormat="1" applyFont="1" applyFill="1" applyBorder="1" applyAlignment="1">
      <alignment vertical="center"/>
    </xf>
    <xf numFmtId="180" fontId="24" fillId="34" borderId="23" xfId="0" applyNumberFormat="1" applyFont="1" applyFill="1" applyBorder="1" applyAlignment="1">
      <alignment vertical="center"/>
    </xf>
    <xf numFmtId="180" fontId="24" fillId="34" borderId="22" xfId="0" applyNumberFormat="1" applyFont="1" applyFill="1" applyBorder="1" applyAlignment="1">
      <alignment vertical="center"/>
    </xf>
    <xf numFmtId="176" fontId="6" fillId="0" borderId="25" xfId="59" applyBorder="1">
      <alignment vertical="center"/>
    </xf>
    <xf numFmtId="176" fontId="6" fillId="0" borderId="25" xfId="59" applyBorder="1" applyAlignment="1">
      <alignment horizontal="center" vertical="center"/>
    </xf>
    <xf numFmtId="176" fontId="6" fillId="0" borderId="28" xfId="59" applyBorder="1">
      <alignment vertical="center"/>
    </xf>
    <xf numFmtId="176" fontId="6" fillId="0" borderId="28" xfId="59" applyBorder="1" applyAlignment="1">
      <alignment horizontal="center" vertical="center"/>
    </xf>
    <xf numFmtId="176" fontId="6" fillId="0" borderId="31" xfId="59" applyBorder="1">
      <alignment vertical="center"/>
    </xf>
    <xf numFmtId="176" fontId="6" fillId="0" borderId="31" xfId="59" applyBorder="1" applyAlignment="1">
      <alignment horizontal="center" vertical="center"/>
    </xf>
    <xf numFmtId="176" fontId="6" fillId="0" borderId="33" xfId="59" applyBorder="1">
      <alignment vertical="center"/>
    </xf>
    <xf numFmtId="176" fontId="6" fillId="0" borderId="33" xfId="59" applyBorder="1" applyAlignment="1">
      <alignment horizontal="center" vertical="center"/>
    </xf>
    <xf numFmtId="176" fontId="6" fillId="0" borderId="36" xfId="59" applyBorder="1">
      <alignment vertical="center"/>
    </xf>
    <xf numFmtId="176" fontId="6" fillId="0" borderId="36" xfId="59" applyBorder="1" applyAlignment="1">
      <alignment horizontal="center" vertical="center"/>
    </xf>
    <xf numFmtId="180" fontId="6" fillId="0" borderId="33" xfId="59" applyNumberFormat="1" applyBorder="1" applyAlignment="1">
      <alignment vertical="center"/>
    </xf>
    <xf numFmtId="180" fontId="6" fillId="0" borderId="28" xfId="59" applyNumberFormat="1" applyBorder="1" applyAlignment="1">
      <alignment vertical="center"/>
    </xf>
    <xf numFmtId="180" fontId="6" fillId="0" borderId="31" xfId="59" applyNumberFormat="1" applyBorder="1" applyAlignment="1">
      <alignment vertical="center"/>
    </xf>
    <xf numFmtId="176" fontId="24" fillId="0" borderId="37" xfId="0" applyFont="1" applyBorder="1">
      <alignment vertical="center"/>
    </xf>
    <xf numFmtId="176" fontId="24" fillId="0" borderId="10" xfId="0" applyFont="1" applyBorder="1">
      <alignment vertical="center"/>
    </xf>
    <xf numFmtId="176" fontId="24" fillId="0" borderId="15" xfId="0" applyFont="1" applyBorder="1">
      <alignment vertical="center"/>
    </xf>
    <xf numFmtId="176" fontId="0" fillId="0" borderId="18" xfId="58" applyFont="1" applyBorder="1">
      <alignment horizontal="centerContinuous" vertical="center"/>
    </xf>
    <xf numFmtId="176" fontId="6" fillId="0" borderId="24" xfId="59" applyBorder="1">
      <alignment vertical="center"/>
    </xf>
    <xf numFmtId="176" fontId="6" fillId="0" borderId="26" xfId="59" applyBorder="1">
      <alignment vertical="center"/>
    </xf>
    <xf numFmtId="176" fontId="6" fillId="0" borderId="27" xfId="59" applyBorder="1">
      <alignment vertical="center"/>
    </xf>
    <xf numFmtId="176" fontId="6" fillId="0" borderId="29" xfId="59" applyBorder="1">
      <alignment vertical="center"/>
    </xf>
    <xf numFmtId="176" fontId="0" fillId="0" borderId="30" xfId="59" applyFont="1" applyBorder="1">
      <alignment vertical="center"/>
    </xf>
    <xf numFmtId="176" fontId="6" fillId="0" borderId="32" xfId="59" applyBorder="1">
      <alignment vertical="center"/>
    </xf>
    <xf numFmtId="176" fontId="6" fillId="0" borderId="16" xfId="59" applyBorder="1" applyAlignment="1">
      <alignment horizontal="center" vertical="center"/>
    </xf>
    <xf numFmtId="176" fontId="26" fillId="0" borderId="0" xfId="0" applyFont="1">
      <alignment vertical="center"/>
    </xf>
    <xf numFmtId="176" fontId="23" fillId="0" borderId="0" xfId="0" applyFont="1" applyAlignment="1">
      <alignment horizontal="centerContinuous" vertical="center"/>
    </xf>
    <xf numFmtId="176" fontId="20" fillId="0" borderId="0" xfId="43" applyNumberFormat="1">
      <alignment vertical="center"/>
    </xf>
    <xf numFmtId="176" fontId="27" fillId="0" borderId="0" xfId="43" applyNumberFormat="1" applyFont="1" applyAlignment="1">
      <alignment horizontal="centerContinuous" vertical="center"/>
    </xf>
    <xf numFmtId="176" fontId="28" fillId="0" borderId="0" xfId="0" applyFont="1" applyAlignment="1">
      <alignment horizontal="centerContinuous" vertical="center"/>
    </xf>
    <xf numFmtId="176" fontId="29" fillId="0" borderId="0" xfId="0" applyFont="1" applyAlignment="1">
      <alignment horizontal="centerContinuous" vertical="center"/>
    </xf>
    <xf numFmtId="176" fontId="30" fillId="0" borderId="0" xfId="39" applyNumberFormat="1" applyFont="1" applyAlignment="1">
      <alignment horizontal="centerContinuous" vertical="center"/>
    </xf>
    <xf numFmtId="176" fontId="6" fillId="32" borderId="16" xfId="58" applyFill="1" applyBorder="1">
      <alignment horizontal="centerContinuous" vertical="center"/>
    </xf>
    <xf numFmtId="176" fontId="6" fillId="32" borderId="14" xfId="58" applyFill="1" applyBorder="1">
      <alignment horizontal="centerContinuous" vertical="center"/>
    </xf>
    <xf numFmtId="176" fontId="6" fillId="32" borderId="17" xfId="58" applyFill="1" applyBorder="1">
      <alignment horizontal="centerContinuous" vertical="center"/>
    </xf>
    <xf numFmtId="176" fontId="6" fillId="32" borderId="20" xfId="58" applyFill="1" applyBorder="1">
      <alignment horizontal="centerContinuous" vertical="center"/>
    </xf>
    <xf numFmtId="176" fontId="6" fillId="32" borderId="21" xfId="58" applyFill="1" applyBorder="1">
      <alignment horizontal="centerContinuous" vertical="center"/>
    </xf>
    <xf numFmtId="176" fontId="6" fillId="32" borderId="21" xfId="58" applyFill="1" applyBorder="1" applyAlignment="1">
      <alignment horizontal="center" vertical="center"/>
    </xf>
    <xf numFmtId="176" fontId="31" fillId="0" borderId="0" xfId="0" applyFont="1">
      <alignment vertical="center"/>
    </xf>
    <xf numFmtId="176" fontId="23" fillId="32" borderId="12" xfId="57" applyFont="1" applyFill="1" applyProtection="1">
      <alignment vertical="center"/>
      <protection locked="0"/>
    </xf>
    <xf numFmtId="182" fontId="24" fillId="0" borderId="0" xfId="0" applyNumberFormat="1" applyFont="1" applyAlignment="1">
      <alignment horizontal="right" vertical="center"/>
    </xf>
    <xf numFmtId="176" fontId="23" fillId="0" borderId="0" xfId="0" applyFont="1" applyAlignment="1">
      <alignment horizontal="right" vertical="center"/>
    </xf>
    <xf numFmtId="176" fontId="23" fillId="0" borderId="0" xfId="0" applyFont="1" applyFill="1" applyProtection="1">
      <alignment vertical="center"/>
    </xf>
    <xf numFmtId="176" fontId="23" fillId="0" borderId="0" xfId="0" applyFont="1" applyFill="1" applyBorder="1" applyProtection="1">
      <alignment vertical="center"/>
    </xf>
    <xf numFmtId="176" fontId="20" fillId="0" borderId="7" xfId="42" applyNumberFormat="1" applyFill="1" applyProtection="1">
      <alignment vertical="center"/>
    </xf>
    <xf numFmtId="176" fontId="20" fillId="0" borderId="7" xfId="42" applyNumberFormat="1" applyFill="1" applyAlignment="1" applyProtection="1">
      <alignment horizontal="right" vertical="center"/>
    </xf>
    <xf numFmtId="176" fontId="23" fillId="0" borderId="0" xfId="0" applyFont="1" applyFill="1" applyAlignment="1" applyProtection="1">
      <alignment horizontal="left" vertical="center"/>
    </xf>
    <xf numFmtId="176" fontId="23" fillId="0" borderId="0" xfId="0" applyFont="1" applyFill="1" applyAlignment="1" applyProtection="1">
      <alignment horizontal="left" vertical="center" indent="1"/>
    </xf>
    <xf numFmtId="176" fontId="23" fillId="0" borderId="0" xfId="0" applyFont="1" applyFill="1" applyAlignment="1" applyProtection="1">
      <alignment horizontal="center" vertical="center"/>
    </xf>
    <xf numFmtId="176" fontId="23" fillId="0" borderId="4" xfId="55" applyFont="1" applyFill="1" applyProtection="1">
      <alignment vertical="center"/>
    </xf>
    <xf numFmtId="176" fontId="23" fillId="0" borderId="10" xfId="54" applyFont="1" applyFill="1" applyProtection="1">
      <alignment vertical="center"/>
    </xf>
    <xf numFmtId="176" fontId="23" fillId="0" borderId="12" xfId="57" applyFont="1" applyFill="1" applyProtection="1">
      <alignment vertical="center"/>
    </xf>
    <xf numFmtId="176" fontId="23" fillId="0" borderId="0" xfId="0" applyFont="1" applyFill="1" applyAlignment="1" applyProtection="1">
      <alignment vertical="center"/>
    </xf>
    <xf numFmtId="176" fontId="6" fillId="32" borderId="25" xfId="59" applyFill="1" applyBorder="1" applyProtection="1">
      <alignment vertical="center"/>
      <protection locked="0"/>
    </xf>
    <xf numFmtId="176" fontId="6" fillId="32" borderId="28" xfId="59" applyFill="1" applyBorder="1" applyProtection="1">
      <alignment vertical="center"/>
      <protection locked="0"/>
    </xf>
    <xf numFmtId="176" fontId="6" fillId="32" borderId="31" xfId="59" applyFill="1" applyBorder="1" applyProtection="1">
      <alignment vertical="center"/>
      <protection locked="0"/>
    </xf>
    <xf numFmtId="176" fontId="24" fillId="32" borderId="10" xfId="0" applyFont="1" applyFill="1" applyBorder="1" applyAlignment="1">
      <alignment horizontal="center" vertical="top"/>
    </xf>
    <xf numFmtId="176" fontId="24" fillId="32" borderId="22" xfId="0" applyFont="1" applyFill="1" applyBorder="1" applyAlignment="1">
      <alignment horizontal="center" vertical="top" wrapText="1"/>
    </xf>
    <xf numFmtId="176" fontId="24" fillId="0" borderId="0" xfId="0" applyFont="1" applyFill="1" applyAlignment="1">
      <alignment vertical="top"/>
    </xf>
    <xf numFmtId="176" fontId="23" fillId="0" borderId="0" xfId="0" applyFont="1" applyFill="1" applyAlignment="1" applyProtection="1">
      <alignment horizontal="right" vertical="center"/>
    </xf>
    <xf numFmtId="176" fontId="24" fillId="0" borderId="0" xfId="0" applyFont="1" applyProtection="1">
      <alignment vertical="center"/>
      <protection locked="0"/>
    </xf>
    <xf numFmtId="183" fontId="6" fillId="0" borderId="14" xfId="59" applyNumberFormat="1" applyBorder="1" applyAlignment="1">
      <alignment vertical="center"/>
    </xf>
    <xf numFmtId="180" fontId="6" fillId="0" borderId="25" xfId="59" applyNumberFormat="1" applyBorder="1" applyAlignment="1">
      <alignment vertical="center"/>
    </xf>
    <xf numFmtId="180" fontId="6" fillId="0" borderId="36" xfId="59" applyNumberFormat="1" applyBorder="1" applyAlignment="1">
      <alignment vertical="center"/>
    </xf>
    <xf numFmtId="176" fontId="6" fillId="32" borderId="38" xfId="58" applyFill="1" applyBorder="1">
      <alignment horizontal="centerContinuous" vertical="center"/>
    </xf>
    <xf numFmtId="176" fontId="6" fillId="32" borderId="39" xfId="58" applyFill="1" applyBorder="1">
      <alignment horizontal="centerContinuous" vertical="center"/>
    </xf>
    <xf numFmtId="179" fontId="6" fillId="0" borderId="50" xfId="29" applyNumberFormat="1" applyFont="1" applyBorder="1" applyAlignment="1">
      <alignment horizontal="right" vertical="center"/>
    </xf>
    <xf numFmtId="179" fontId="6" fillId="0" borderId="51" xfId="29" applyNumberFormat="1" applyFont="1" applyBorder="1" applyAlignment="1">
      <alignment horizontal="right" vertical="center"/>
    </xf>
    <xf numFmtId="176" fontId="6" fillId="32" borderId="52" xfId="58" applyFill="1" applyBorder="1">
      <alignment horizontal="centerContinuous" vertical="center"/>
    </xf>
    <xf numFmtId="176" fontId="6" fillId="32" borderId="53" xfId="58" applyFill="1" applyBorder="1">
      <alignment horizontal="centerContinuous" vertical="center"/>
    </xf>
    <xf numFmtId="176" fontId="6" fillId="0" borderId="40" xfId="59" applyBorder="1" applyAlignment="1">
      <alignment horizontal="center" vertical="center"/>
    </xf>
    <xf numFmtId="176" fontId="6" fillId="0" borderId="54" xfId="59" applyBorder="1" applyAlignment="1">
      <alignment horizontal="center" vertical="center"/>
    </xf>
    <xf numFmtId="176" fontId="6" fillId="0" borderId="55" xfId="59" applyBorder="1" applyAlignment="1">
      <alignment horizontal="center" vertical="center"/>
    </xf>
    <xf numFmtId="176" fontId="6" fillId="0" borderId="42" xfId="59" applyBorder="1" applyAlignment="1">
      <alignment horizontal="center" vertical="center"/>
    </xf>
    <xf numFmtId="176" fontId="6" fillId="0" borderId="56" xfId="59" applyBorder="1" applyAlignment="1">
      <alignment horizontal="center" vertical="center"/>
    </xf>
    <xf numFmtId="176" fontId="6" fillId="0" borderId="57" xfId="59" applyBorder="1" applyAlignment="1">
      <alignment horizontal="center" vertical="center"/>
    </xf>
    <xf numFmtId="176" fontId="6" fillId="0" borderId="44" xfId="59" applyBorder="1" applyAlignment="1">
      <alignment horizontal="center" vertical="center"/>
    </xf>
    <xf numFmtId="176" fontId="6" fillId="0" borderId="58" xfId="59" applyBorder="1" applyAlignment="1">
      <alignment horizontal="center" vertical="center"/>
    </xf>
    <xf numFmtId="176" fontId="6" fillId="0" borderId="59" xfId="59" applyBorder="1" applyAlignment="1">
      <alignment horizontal="center" vertical="center"/>
    </xf>
    <xf numFmtId="176" fontId="6" fillId="0" borderId="46" xfId="59" applyBorder="1" applyAlignment="1">
      <alignment horizontal="center" vertical="center"/>
    </xf>
    <xf numFmtId="176" fontId="6" fillId="0" borderId="60" xfId="59" applyBorder="1" applyAlignment="1">
      <alignment horizontal="center" vertical="center"/>
    </xf>
    <xf numFmtId="176" fontId="6" fillId="0" borderId="61" xfId="59" applyBorder="1" applyAlignment="1">
      <alignment horizontal="center" vertical="center"/>
    </xf>
    <xf numFmtId="176" fontId="6" fillId="0" borderId="48" xfId="59" applyBorder="1" applyAlignment="1">
      <alignment horizontal="center" vertical="center"/>
    </xf>
    <xf numFmtId="176" fontId="6" fillId="0" borderId="62" xfId="59" applyBorder="1" applyAlignment="1">
      <alignment horizontal="center" vertical="center"/>
    </xf>
    <xf numFmtId="176" fontId="6" fillId="0" borderId="63" xfId="59" applyBorder="1" applyAlignment="1">
      <alignment horizontal="center" vertical="center"/>
    </xf>
    <xf numFmtId="176" fontId="6" fillId="0" borderId="50" xfId="59" applyBorder="1" applyAlignment="1">
      <alignment horizontal="center" vertical="center"/>
    </xf>
    <xf numFmtId="176" fontId="6" fillId="0" borderId="64" xfId="59" applyBorder="1" applyAlignment="1">
      <alignment horizontal="center" vertical="center"/>
    </xf>
    <xf numFmtId="176" fontId="6" fillId="0" borderId="65" xfId="59" applyBorder="1" applyAlignment="1">
      <alignment horizontal="center" vertical="center"/>
    </xf>
    <xf numFmtId="180" fontId="6" fillId="0" borderId="40" xfId="59" applyNumberFormat="1" applyBorder="1" applyAlignment="1">
      <alignment horizontal="right" vertical="center"/>
    </xf>
    <xf numFmtId="180" fontId="6" fillId="0" borderId="41" xfId="59" applyNumberFormat="1" applyBorder="1" applyAlignment="1">
      <alignment horizontal="right" vertical="center"/>
    </xf>
    <xf numFmtId="180" fontId="6" fillId="0" borderId="42" xfId="59" applyNumberFormat="1" applyBorder="1" applyAlignment="1">
      <alignment horizontal="right" vertical="center"/>
    </xf>
    <xf numFmtId="180" fontId="6" fillId="0" borderId="43" xfId="59" applyNumberFormat="1" applyBorder="1" applyAlignment="1">
      <alignment horizontal="right" vertical="center"/>
    </xf>
    <xf numFmtId="180" fontId="6" fillId="0" borderId="44" xfId="59" applyNumberFormat="1" applyBorder="1" applyAlignment="1">
      <alignment horizontal="right" vertical="center"/>
    </xf>
    <xf numFmtId="180" fontId="6" fillId="0" borderId="45" xfId="59" applyNumberFormat="1" applyBorder="1" applyAlignment="1">
      <alignment horizontal="right" vertical="center"/>
    </xf>
    <xf numFmtId="180" fontId="6" fillId="0" borderId="46" xfId="59" applyNumberFormat="1" applyBorder="1" applyAlignment="1">
      <alignment horizontal="right" vertical="center"/>
    </xf>
    <xf numFmtId="180" fontId="6" fillId="0" borderId="47" xfId="59" applyNumberFormat="1" applyBorder="1" applyAlignment="1">
      <alignment horizontal="right" vertical="center"/>
    </xf>
    <xf numFmtId="180" fontId="6" fillId="0" borderId="48" xfId="59" applyNumberFormat="1" applyBorder="1" applyAlignment="1">
      <alignment horizontal="right" vertical="center"/>
    </xf>
    <xf numFmtId="180" fontId="6" fillId="0" borderId="49" xfId="59" applyNumberFormat="1" applyBorder="1" applyAlignment="1">
      <alignment horizontal="right" vertical="center"/>
    </xf>
    <xf numFmtId="176" fontId="23" fillId="32" borderId="0" xfId="0" applyFont="1" applyFill="1" applyBorder="1" applyAlignment="1" applyProtection="1">
      <alignment vertical="center"/>
      <protection locked="0"/>
    </xf>
    <xf numFmtId="181" fontId="23" fillId="32" borderId="0" xfId="0" applyNumberFormat="1" applyFont="1" applyFill="1" applyBorder="1" applyAlignment="1" applyProtection="1">
      <alignment vertical="center"/>
      <protection locked="0"/>
    </xf>
    <xf numFmtId="176" fontId="6" fillId="0" borderId="16" xfId="59" applyBorder="1" applyAlignment="1">
      <alignment horizontal="center" vertical="center"/>
    </xf>
    <xf numFmtId="176" fontId="6" fillId="0" borderId="34" xfId="59" applyBorder="1" applyAlignment="1">
      <alignment horizontal="center" vertical="center"/>
    </xf>
    <xf numFmtId="176" fontId="6" fillId="0" borderId="35" xfId="59" applyBorder="1" applyAlignment="1">
      <alignment horizontal="center" vertical="center"/>
    </xf>
    <xf numFmtId="176" fontId="6" fillId="0" borderId="27" xfId="59" applyBorder="1" applyAlignment="1">
      <alignment horizontal="center" vertical="center"/>
    </xf>
    <xf numFmtId="176" fontId="6" fillId="0" borderId="30" xfId="59" applyBorder="1" applyAlignment="1">
      <alignment horizontal="center" vertical="center"/>
    </xf>
  </cellXfs>
  <cellStyles count="6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Ref." xfId="60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백분율" xfId="29" builtinId="5"/>
    <cellStyle name="보통" xfId="30" builtinId="28" customBuiltin="1"/>
    <cellStyle name="설명 텍스트" xfId="31" builtinId="53" customBuiltin="1"/>
    <cellStyle name="셀 확인" xfId="32" builtinId="23" customBuiltin="1"/>
    <cellStyle name="숫자(백만원)" xfId="34"/>
    <cellStyle name="숫자(천원)" xfId="28"/>
    <cellStyle name="쉼표 [0]" xfId="33" builtinId="6" customBuiltin="1"/>
    <cellStyle name="연결된 셀" xfId="35" builtinId="24" customBuiltin="1"/>
    <cellStyle name="열어 본 하이퍼링크" xfId="36" builtinId="9" hidden="1"/>
    <cellStyle name="요약" xfId="37" builtinId="25" customBuiltin="1"/>
    <cellStyle name="요약(머리글)" xfId="53"/>
    <cellStyle name="요약(아래01)" xfId="54"/>
    <cellStyle name="요약(아래02)" xfId="55"/>
    <cellStyle name="요약(아래03)" xfId="56"/>
    <cellStyle name="요약(위01)" xfId="57"/>
    <cellStyle name="입력" xfId="38" builtinId="20" customBuiltin="1"/>
    <cellStyle name="제목" xfId="39" builtinId="15" customBuiltin="1"/>
    <cellStyle name="제목 1" xfId="40" builtinId="16" customBuiltin="1"/>
    <cellStyle name="제목 2" xfId="41" builtinId="17" customBuiltin="1"/>
    <cellStyle name="제목 3" xfId="42" builtinId="18" customBuiltin="1"/>
    <cellStyle name="제목 4" xfId="43" builtinId="19" customBuiltin="1"/>
    <cellStyle name="좋음" xfId="44" builtinId="26" customBuiltin="1"/>
    <cellStyle name="출력" xfId="45" builtinId="21" customBuiltin="1"/>
    <cellStyle name="통화 [0]" xfId="46" builtinId="7" customBuiltin="1"/>
    <cellStyle name="표(머리글)" xfId="58"/>
    <cellStyle name="표(본문)" xfId="59"/>
    <cellStyle name="표준" xfId="0" builtinId="0" customBuiltin="1"/>
    <cellStyle name="표준 2" xfId="47" hidden="1"/>
    <cellStyle name="표준 3" xfId="48" hidden="1"/>
    <cellStyle name="표준 4" xfId="49" hidden="1"/>
    <cellStyle name="표준 5" xfId="50" hidden="1"/>
    <cellStyle name="표준 6" xfId="51" hidden="1"/>
    <cellStyle name="표준 7" xfId="52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32</xdr:row>
      <xdr:rowOff>0</xdr:rowOff>
    </xdr:to>
    <xdr:sp macro="" textlink="">
      <xdr:nvSpPr>
        <xdr:cNvPr id="3" name="TextBox 2"/>
        <xdr:cNvSpPr txBox="1"/>
      </xdr:nvSpPr>
      <xdr:spPr>
        <a:xfrm>
          <a:off x="1195917" y="1153583"/>
          <a:ext cx="7175500" cy="3175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0" tIns="180000" rIns="180000" bIns="180000" rtlCol="0" anchor="t"/>
        <a:lstStyle/>
        <a:p>
          <a:r>
            <a:rPr lang="ko-KR" altLang="en-US" sz="1100"/>
            <a:t>본 양식은 스타기업 육성사업에 지원하는 기업이 스타기업 육성사업  대상기업 선정을 위한 재무건전성 평가에 앞서 자체적으로 재무건전성을 평가하기 위한 목적으로 작성된 것으로</a:t>
          </a:r>
          <a:r>
            <a:rPr lang="en-US" altLang="ko-KR" sz="1100"/>
            <a:t>, </a:t>
          </a:r>
        </a:p>
        <a:p>
          <a:endParaRPr lang="en-US" altLang="ko-K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육성사업에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신청하는 기업은 본 양식을 작성하여 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지원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신청서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와 함께 제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출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엑셀파일 포함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하여 주시기 바랍니다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ko-KR" altLang="ko-KR">
            <a:effectLst/>
          </a:endParaRPr>
        </a:p>
        <a:p>
          <a:endParaRPr lang="en-US" altLang="ko-KR" sz="1100"/>
        </a:p>
        <a:p>
          <a:endParaRPr lang="en-US" altLang="ko-KR" sz="1100"/>
        </a:p>
        <a:p>
          <a:r>
            <a:rPr lang="en-US" altLang="ko-KR" sz="1100"/>
            <a:t>[</a:t>
          </a:r>
          <a:r>
            <a:rPr lang="ko-KR" altLang="en-US" sz="1100"/>
            <a:t>작성</a:t>
          </a:r>
          <a:r>
            <a:rPr lang="ko-KR" altLang="en-US" sz="1100" baseline="0"/>
            <a:t> 및 사용방법</a:t>
          </a:r>
          <a:r>
            <a:rPr lang="en-US" altLang="ko-KR" sz="1100"/>
            <a:t>]</a:t>
          </a:r>
        </a:p>
        <a:p>
          <a:r>
            <a:rPr lang="en-US" altLang="ko-KR" sz="1100"/>
            <a:t>1. "A1</a:t>
          </a:r>
          <a:r>
            <a:rPr lang="ko-KR" altLang="en-US" sz="1100"/>
            <a:t>기초자료입력</a:t>
          </a:r>
          <a:r>
            <a:rPr lang="en-US" altLang="ko-KR" sz="1100"/>
            <a:t>" </a:t>
          </a:r>
          <a:r>
            <a:rPr lang="ko-KR" altLang="en-US" sz="1100"/>
            <a:t>및 </a:t>
          </a:r>
          <a:r>
            <a:rPr lang="en-US" altLang="ko-KR" sz="1100"/>
            <a:t>"A2</a:t>
          </a:r>
          <a:r>
            <a:rPr lang="ko-KR" altLang="en-US" sz="1100"/>
            <a:t>부가가치계산항목</a:t>
          </a:r>
          <a:r>
            <a:rPr lang="en-US" altLang="ko-KR" sz="1100"/>
            <a:t>" Sheet</a:t>
          </a:r>
          <a:r>
            <a:rPr lang="ko-KR" altLang="en-US" sz="1100"/>
            <a:t>의 음영으로 칠해진 부분에 평가대상기업의 재무자료를 입력하시면 </a:t>
          </a:r>
          <a:endParaRPr lang="en-US" altLang="ko-KR" sz="1100"/>
        </a:p>
        <a:p>
          <a:r>
            <a:rPr lang="en-US" altLang="ko-KR" sz="1100"/>
            <a:t>2. "B1</a:t>
          </a:r>
          <a:r>
            <a:rPr lang="ko-KR" altLang="en-US" sz="1100" baseline="0"/>
            <a:t>평가지표</a:t>
          </a:r>
          <a:r>
            <a:rPr lang="en-US" altLang="ko-KR" sz="1100" baseline="0"/>
            <a:t>" Sheet</a:t>
          </a:r>
          <a:r>
            <a:rPr lang="ko-KR" altLang="en-US" sz="1100" baseline="0"/>
            <a:t>에 재무건전성 평가결과를 사전에 확인하실수 있습니다</a:t>
          </a:r>
          <a:r>
            <a:rPr lang="en-US" altLang="ko-KR" sz="1100" baseline="0"/>
            <a:t>.</a:t>
          </a:r>
        </a:p>
        <a:p>
          <a:endParaRPr lang="en-US" altLang="ko-KR" sz="1100"/>
        </a:p>
        <a:p>
          <a:endParaRPr lang="en-US" altLang="ko-KR" sz="1100"/>
        </a:p>
        <a:p>
          <a:r>
            <a:rPr lang="en-US" altLang="ko-KR" sz="1100"/>
            <a:t>[</a:t>
          </a:r>
          <a:r>
            <a:rPr lang="ko-KR" altLang="en-US" sz="1100"/>
            <a:t>문의</a:t>
          </a:r>
          <a:r>
            <a:rPr lang="en-US" altLang="ko-KR" sz="1100"/>
            <a:t>]</a:t>
          </a:r>
        </a:p>
        <a:p>
          <a:r>
            <a:rPr lang="en-US" altLang="ko-KR" sz="1100"/>
            <a:t>(</a:t>
          </a:r>
          <a:r>
            <a:rPr lang="ko-KR" altLang="en-US" sz="1100"/>
            <a:t>재</a:t>
          </a:r>
          <a:r>
            <a:rPr lang="en-US" altLang="ko-KR" sz="1100"/>
            <a:t>)</a:t>
          </a:r>
          <a:r>
            <a:rPr lang="ko-KR" altLang="en-US" sz="1100"/>
            <a:t>대구테크노파크 부설 지역산업평가단 </a:t>
          </a:r>
          <a:endParaRPr lang="en-US" altLang="ko-KR" sz="1100"/>
        </a:p>
        <a:p>
          <a:r>
            <a:rPr lang="ko-KR" altLang="en-US" sz="1100"/>
            <a:t>손준혁 선임연구원 </a:t>
          </a:r>
          <a:r>
            <a:rPr lang="en-US" altLang="ko-KR" sz="1100"/>
            <a:t>(053-757-3712)</a:t>
          </a:r>
        </a:p>
        <a:p>
          <a:endParaRPr lang="en-US" altLang="ko-KR" sz="1100"/>
        </a:p>
        <a:p>
          <a:r>
            <a:rPr lang="ko-KR" altLang="en-US" sz="1100"/>
            <a:t>삼일회계법인 </a:t>
          </a:r>
          <a:r>
            <a:rPr lang="en-US" altLang="ko-KR" sz="1100"/>
            <a:t>Assurance</a:t>
          </a:r>
          <a:r>
            <a:rPr lang="ko-KR" altLang="en-US" sz="1100" baseline="0"/>
            <a:t>대구</a:t>
          </a:r>
          <a:endParaRPr lang="en-US" altLang="ko-KR" sz="1100"/>
        </a:p>
        <a:p>
          <a:r>
            <a:rPr lang="ko-KR" altLang="en-US" sz="1100"/>
            <a:t>장현수 이사 </a:t>
          </a:r>
          <a:r>
            <a:rPr lang="en-US" altLang="ko-KR" sz="1100"/>
            <a:t>(010-4521-7210, 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hsujang@samil.com</a:t>
          </a:r>
          <a:r>
            <a:rPr lang="en-US" altLang="ko-KR" sz="1100"/>
            <a:t>)</a:t>
          </a:r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44"/>
  <sheetViews>
    <sheetView showGridLines="0" tabSelected="1" zoomScale="90" zoomScaleNormal="90" workbookViewId="0">
      <selection activeCell="M39" sqref="M39"/>
    </sheetView>
  </sheetViews>
  <sheetFormatPr defaultRowHeight="16.5"/>
  <cols>
    <col min="1" max="256" width="10.625" style="1" customWidth="1"/>
    <col min="257" max="16384" width="9" style="1"/>
  </cols>
  <sheetData>
    <row r="1" spans="1:9">
      <c r="A1" s="49" t="s">
        <v>173</v>
      </c>
    </row>
    <row r="2" spans="1:9">
      <c r="A2" s="49"/>
    </row>
    <row r="3" spans="1:9">
      <c r="A3" s="49"/>
    </row>
    <row r="4" spans="1:9" ht="31.5">
      <c r="A4" s="55" t="s">
        <v>196</v>
      </c>
      <c r="B4" s="50"/>
      <c r="C4" s="50"/>
      <c r="D4" s="50"/>
      <c r="E4" s="50"/>
      <c r="F4" s="50"/>
      <c r="G4" s="50"/>
      <c r="H4" s="50"/>
      <c r="I4" s="50"/>
    </row>
    <row r="33" spans="1:9">
      <c r="B33" s="62" t="s">
        <v>200</v>
      </c>
    </row>
    <row r="39" spans="1:9" ht="19.5">
      <c r="A39" s="53" t="s">
        <v>237</v>
      </c>
      <c r="B39" s="52"/>
      <c r="C39" s="52"/>
      <c r="D39" s="52"/>
      <c r="E39" s="52"/>
      <c r="F39" s="52"/>
      <c r="G39" s="52"/>
      <c r="H39" s="52"/>
      <c r="I39" s="52"/>
    </row>
    <row r="43" spans="1:9" ht="19.5">
      <c r="A43" s="53" t="s">
        <v>197</v>
      </c>
      <c r="B43" s="52"/>
      <c r="C43" s="52"/>
      <c r="D43" s="52"/>
      <c r="E43" s="52"/>
      <c r="F43" s="52"/>
      <c r="G43" s="52"/>
      <c r="H43" s="52"/>
      <c r="I43" s="52"/>
    </row>
    <row r="44" spans="1:9" ht="19.5">
      <c r="A44" s="54" t="s">
        <v>198</v>
      </c>
      <c r="B44" s="52"/>
      <c r="C44" s="52"/>
      <c r="D44" s="52"/>
      <c r="E44" s="52"/>
      <c r="F44" s="52"/>
      <c r="G44" s="52"/>
      <c r="H44" s="52"/>
      <c r="I44" s="52"/>
    </row>
  </sheetData>
  <sheetProtection password="83D9" sheet="1" objects="1" scenarios="1" selectLockedCells="1" selectUnlockedCells="1"/>
  <phoneticPr fontId="4" type="noConversion"/>
  <pageMargins left="0.7" right="0.7" top="0.75" bottom="0.75" header="0.3" footer="0.3"/>
  <pageSetup paperSize="9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outlinePr summaryBelow="0" summaryRight="0"/>
    <pageSetUpPr fitToPage="1"/>
  </sheetPr>
  <dimension ref="A1:G107"/>
  <sheetViews>
    <sheetView showGridLines="0" zoomScale="90" zoomScaleNormal="90" workbookViewId="0">
      <selection activeCell="B6" sqref="B6"/>
    </sheetView>
  </sheetViews>
  <sheetFormatPr defaultColWidth="15.625" defaultRowHeight="16.5"/>
  <cols>
    <col min="1" max="1" width="30.625" style="66" customWidth="1"/>
    <col min="2" max="4" width="20.625" style="66" customWidth="1"/>
    <col min="5" max="5" width="1.625" style="66" customWidth="1"/>
    <col min="6" max="6" width="75.625" style="66" customWidth="1"/>
    <col min="7" max="8" width="18.125" style="66" customWidth="1"/>
    <col min="9" max="16384" width="15.625" style="66"/>
  </cols>
  <sheetData>
    <row r="1" spans="1:6">
      <c r="A1" s="66" t="s">
        <v>4</v>
      </c>
      <c r="B1" s="122"/>
      <c r="C1" s="122"/>
      <c r="D1" s="122"/>
      <c r="F1" s="66" t="s">
        <v>5</v>
      </c>
    </row>
    <row r="2" spans="1:6">
      <c r="A2" s="66" t="s">
        <v>103</v>
      </c>
      <c r="B2" s="123"/>
      <c r="C2" s="123"/>
      <c r="D2" s="123"/>
      <c r="F2" s="66" t="s">
        <v>2</v>
      </c>
    </row>
    <row r="3" spans="1:6">
      <c r="C3" s="67"/>
    </row>
    <row r="4" spans="1:6">
      <c r="C4" s="67"/>
    </row>
    <row r="5" spans="1:6" ht="17.25" thickBot="1">
      <c r="A5" s="68" t="s">
        <v>66</v>
      </c>
      <c r="B5" s="69" t="s">
        <v>175</v>
      </c>
      <c r="C5" s="69" t="s">
        <v>174</v>
      </c>
      <c r="D5" s="69" t="s">
        <v>111</v>
      </c>
    </row>
    <row r="6" spans="1:6">
      <c r="A6" s="66" t="s">
        <v>3</v>
      </c>
      <c r="B6" s="3"/>
      <c r="C6" s="3"/>
      <c r="D6" s="3"/>
      <c r="F6" s="70" t="s">
        <v>25</v>
      </c>
    </row>
    <row r="7" spans="1:6">
      <c r="A7" s="66" t="s">
        <v>176</v>
      </c>
      <c r="B7" s="3"/>
      <c r="C7" s="3"/>
      <c r="D7" s="3"/>
      <c r="F7" s="70" t="s">
        <v>177</v>
      </c>
    </row>
    <row r="8" spans="1:6">
      <c r="A8" s="66" t="s">
        <v>23</v>
      </c>
      <c r="B8" s="3"/>
      <c r="C8" s="3"/>
      <c r="D8" s="3"/>
      <c r="F8" s="70" t="s">
        <v>52</v>
      </c>
    </row>
    <row r="9" spans="1:6">
      <c r="A9" s="66" t="s">
        <v>24</v>
      </c>
      <c r="B9" s="3"/>
      <c r="C9" s="3"/>
      <c r="D9" s="3"/>
      <c r="F9" s="70" t="s">
        <v>178</v>
      </c>
    </row>
    <row r="11" spans="1:6">
      <c r="A11" s="66" t="s">
        <v>203</v>
      </c>
      <c r="B11" s="3"/>
      <c r="C11" s="3"/>
      <c r="D11" s="3"/>
      <c r="F11" s="66" t="s">
        <v>21</v>
      </c>
    </row>
    <row r="12" spans="1:6">
      <c r="A12" s="66" t="s">
        <v>204</v>
      </c>
      <c r="B12" s="3"/>
      <c r="C12" s="3"/>
      <c r="D12" s="3"/>
      <c r="F12" s="66" t="s">
        <v>22</v>
      </c>
    </row>
    <row r="14" spans="1:6">
      <c r="A14" s="66" t="s">
        <v>63</v>
      </c>
      <c r="B14" s="3"/>
      <c r="C14" s="3"/>
      <c r="D14" s="3"/>
      <c r="F14" s="66" t="s">
        <v>65</v>
      </c>
    </row>
    <row r="15" spans="1:6">
      <c r="A15" s="66" t="s">
        <v>62</v>
      </c>
      <c r="B15" s="3"/>
      <c r="C15" s="3"/>
      <c r="D15" s="3"/>
      <c r="F15" s="66" t="s">
        <v>64</v>
      </c>
    </row>
    <row r="18" spans="1:7" ht="17.25" thickBot="1">
      <c r="A18" s="68" t="s">
        <v>230</v>
      </c>
      <c r="B18" s="69" t="str">
        <f>B$5</f>
        <v>2011년</v>
      </c>
      <c r="C18" s="69" t="str">
        <f>C$5</f>
        <v>2010년</v>
      </c>
      <c r="D18" s="69" t="str">
        <f>D$5</f>
        <v>2009년</v>
      </c>
    </row>
    <row r="19" spans="1:7">
      <c r="A19" s="70" t="s">
        <v>30</v>
      </c>
      <c r="B19" s="66">
        <f>B20+B23</f>
        <v>0</v>
      </c>
      <c r="C19" s="66">
        <f>C20+C23</f>
        <v>0</v>
      </c>
      <c r="D19" s="66">
        <f>D20+D23</f>
        <v>0</v>
      </c>
      <c r="F19" s="70"/>
      <c r="G19" s="70"/>
    </row>
    <row r="20" spans="1:7">
      <c r="A20" s="70" t="s">
        <v>206</v>
      </c>
      <c r="B20" s="4"/>
      <c r="C20" s="4"/>
      <c r="D20" s="4"/>
      <c r="F20" s="70"/>
    </row>
    <row r="21" spans="1:7">
      <c r="A21" s="70" t="s">
        <v>207</v>
      </c>
      <c r="B21" s="4"/>
      <c r="C21" s="4"/>
      <c r="D21" s="4"/>
      <c r="F21" s="70"/>
    </row>
    <row r="22" spans="1:7">
      <c r="A22" s="70" t="s">
        <v>208</v>
      </c>
      <c r="B22" s="4"/>
      <c r="C22" s="4"/>
      <c r="D22" s="4"/>
      <c r="F22" s="66" t="s">
        <v>53</v>
      </c>
    </row>
    <row r="23" spans="1:7">
      <c r="A23" s="70" t="s">
        <v>209</v>
      </c>
      <c r="B23" s="4"/>
      <c r="C23" s="4"/>
      <c r="D23" s="4"/>
      <c r="F23" s="66" t="s">
        <v>54</v>
      </c>
    </row>
    <row r="24" spans="1:7">
      <c r="A24" s="70" t="s">
        <v>26</v>
      </c>
      <c r="B24" s="66">
        <f>B25+B26+B28+B29</f>
        <v>0</v>
      </c>
      <c r="C24" s="66">
        <f>C25+C26+C28+C29</f>
        <v>0</v>
      </c>
      <c r="D24" s="66">
        <f>D25+D26+D28+D29</f>
        <v>0</v>
      </c>
      <c r="E24" s="71"/>
    </row>
    <row r="25" spans="1:7">
      <c r="A25" s="70" t="s">
        <v>210</v>
      </c>
      <c r="B25" s="4"/>
      <c r="C25" s="4"/>
      <c r="D25" s="4"/>
      <c r="E25" s="71"/>
    </row>
    <row r="26" spans="1:7">
      <c r="A26" s="70" t="s">
        <v>211</v>
      </c>
      <c r="B26" s="4"/>
      <c r="C26" s="4"/>
      <c r="D26" s="4"/>
      <c r="F26" s="66" t="s">
        <v>55</v>
      </c>
    </row>
    <row r="27" spans="1:7">
      <c r="A27" s="70" t="s">
        <v>212</v>
      </c>
      <c r="B27" s="4"/>
      <c r="C27" s="4"/>
      <c r="D27" s="4"/>
    </row>
    <row r="28" spans="1:7">
      <c r="A28" s="70" t="s">
        <v>213</v>
      </c>
      <c r="B28" s="4"/>
      <c r="C28" s="4"/>
      <c r="D28" s="4"/>
    </row>
    <row r="29" spans="1:7">
      <c r="A29" s="70" t="s">
        <v>214</v>
      </c>
      <c r="B29" s="4"/>
      <c r="C29" s="4"/>
      <c r="D29" s="4"/>
    </row>
    <row r="30" spans="1:7" ht="17.25" thickBot="1">
      <c r="A30" s="72" t="s">
        <v>31</v>
      </c>
      <c r="B30" s="73">
        <f>B19+B24</f>
        <v>0</v>
      </c>
      <c r="C30" s="73">
        <f>C19+C24</f>
        <v>0</v>
      </c>
      <c r="D30" s="73">
        <f>D19+D24</f>
        <v>0</v>
      </c>
    </row>
    <row r="31" spans="1:7" ht="17.25" thickTop="1">
      <c r="A31" s="70"/>
    </row>
    <row r="32" spans="1:7">
      <c r="A32" s="70" t="s">
        <v>32</v>
      </c>
      <c r="B32" s="5"/>
      <c r="C32" s="5"/>
      <c r="D32" s="5"/>
    </row>
    <row r="33" spans="1:6">
      <c r="A33" s="70" t="s">
        <v>215</v>
      </c>
      <c r="B33" s="5"/>
      <c r="C33" s="5"/>
      <c r="D33" s="5"/>
      <c r="F33" s="66" t="s">
        <v>7</v>
      </c>
    </row>
    <row r="34" spans="1:6">
      <c r="A34" s="70" t="s">
        <v>216</v>
      </c>
      <c r="B34" s="5"/>
      <c r="C34" s="5"/>
      <c r="D34" s="5"/>
      <c r="F34" s="66" t="s">
        <v>7</v>
      </c>
    </row>
    <row r="35" spans="1:6">
      <c r="A35" s="70" t="s">
        <v>6</v>
      </c>
      <c r="B35" s="5"/>
      <c r="C35" s="5"/>
      <c r="D35" s="5"/>
    </row>
    <row r="36" spans="1:6">
      <c r="A36" s="70" t="s">
        <v>217</v>
      </c>
      <c r="B36" s="5"/>
      <c r="C36" s="5"/>
      <c r="D36" s="5"/>
      <c r="F36" s="66" t="s">
        <v>7</v>
      </c>
    </row>
    <row r="37" spans="1:6">
      <c r="A37" s="72" t="s">
        <v>33</v>
      </c>
      <c r="B37" s="74">
        <f>B32+B35</f>
        <v>0</v>
      </c>
      <c r="C37" s="74">
        <f>C32+C35</f>
        <v>0</v>
      </c>
      <c r="D37" s="74">
        <f>D32+D35</f>
        <v>0</v>
      </c>
    </row>
    <row r="38" spans="1:6">
      <c r="A38" s="70"/>
    </row>
    <row r="39" spans="1:6">
      <c r="A39" s="70" t="s">
        <v>27</v>
      </c>
      <c r="B39" s="4"/>
      <c r="C39" s="4"/>
      <c r="D39" s="4"/>
    </row>
    <row r="40" spans="1:6">
      <c r="A40" s="70" t="s">
        <v>8</v>
      </c>
      <c r="B40" s="4"/>
      <c r="C40" s="4"/>
      <c r="D40" s="4"/>
    </row>
    <row r="41" spans="1:6">
      <c r="A41" s="70" t="s">
        <v>10</v>
      </c>
      <c r="B41" s="4"/>
      <c r="C41" s="4"/>
      <c r="D41" s="4"/>
    </row>
    <row r="42" spans="1:6">
      <c r="A42" s="70" t="s">
        <v>11</v>
      </c>
      <c r="B42" s="4"/>
      <c r="C42" s="4"/>
      <c r="D42" s="4"/>
    </row>
    <row r="43" spans="1:6">
      <c r="A43" s="70" t="s">
        <v>9</v>
      </c>
      <c r="B43" s="4"/>
      <c r="C43" s="4"/>
      <c r="D43" s="4"/>
    </row>
    <row r="44" spans="1:6">
      <c r="A44" s="72" t="s">
        <v>34</v>
      </c>
      <c r="B44" s="74">
        <f>SUM(B39:B43)</f>
        <v>0</v>
      </c>
      <c r="C44" s="74">
        <f>SUM(C39:C43)</f>
        <v>0</v>
      </c>
      <c r="D44" s="74">
        <f>SUM(D39:D43)</f>
        <v>0</v>
      </c>
    </row>
    <row r="45" spans="1:6" ht="17.25" thickBot="1">
      <c r="A45" s="72" t="s">
        <v>202</v>
      </c>
      <c r="B45" s="73">
        <f>B37+B44</f>
        <v>0</v>
      </c>
      <c r="C45" s="73">
        <f t="shared" ref="C45:D45" si="0">C37+C44</f>
        <v>0</v>
      </c>
      <c r="D45" s="73">
        <f t="shared" si="0"/>
        <v>0</v>
      </c>
    </row>
    <row r="46" spans="1:6" ht="17.25" thickTop="1">
      <c r="A46" s="83"/>
      <c r="B46" s="83" t="str">
        <f>IF(B30-B45=0, "", "오류")</f>
        <v/>
      </c>
      <c r="C46" s="83" t="str">
        <f>IF(C30-C45=0, "", "오류")</f>
        <v/>
      </c>
      <c r="D46" s="83" t="str">
        <f>IF(D30-D45=0, "", "오류")</f>
        <v/>
      </c>
      <c r="F46" s="66" t="str">
        <f>IF(OR(B46="오류", C46="오류", D46="오류"), "대차가 일치하지 않습니다. 입력내용을 재확인하세요", "")</f>
        <v/>
      </c>
    </row>
    <row r="47" spans="1:6">
      <c r="A47" s="70"/>
    </row>
    <row r="48" spans="1:6" ht="17.25" thickBot="1">
      <c r="A48" s="68" t="s">
        <v>229</v>
      </c>
      <c r="B48" s="69" t="str">
        <f>B$5</f>
        <v>2011년</v>
      </c>
      <c r="C48" s="69" t="str">
        <f>C$5</f>
        <v>2010년</v>
      </c>
      <c r="D48" s="69" t="str">
        <f>D$5</f>
        <v>2009년</v>
      </c>
    </row>
    <row r="49" spans="1:6">
      <c r="A49" s="66" t="s">
        <v>236</v>
      </c>
      <c r="B49" s="4"/>
      <c r="C49" s="4"/>
      <c r="D49" s="4"/>
      <c r="F49" s="66" t="s">
        <v>205</v>
      </c>
    </row>
    <row r="50" spans="1:6">
      <c r="A50" s="66" t="s">
        <v>28</v>
      </c>
      <c r="B50" s="4"/>
      <c r="C50" s="4"/>
      <c r="D50" s="4"/>
    </row>
    <row r="51" spans="1:6">
      <c r="A51" s="66" t="s">
        <v>201</v>
      </c>
      <c r="B51" s="74">
        <f>B49-B50</f>
        <v>0</v>
      </c>
      <c r="C51" s="74">
        <f>C49-C50</f>
        <v>0</v>
      </c>
      <c r="D51" s="74">
        <f>D49-D50</f>
        <v>0</v>
      </c>
    </row>
    <row r="52" spans="1:6">
      <c r="A52" s="66" t="s">
        <v>12</v>
      </c>
      <c r="B52" s="4"/>
      <c r="C52" s="4"/>
      <c r="D52" s="4"/>
    </row>
    <row r="53" spans="1:6">
      <c r="A53" s="67" t="s">
        <v>35</v>
      </c>
      <c r="B53" s="74">
        <f>B51-B52</f>
        <v>0</v>
      </c>
      <c r="C53" s="74">
        <f>C51-C52</f>
        <v>0</v>
      </c>
      <c r="D53" s="74">
        <f>D51-D52</f>
        <v>0</v>
      </c>
    </row>
    <row r="54" spans="1:6">
      <c r="A54" s="67" t="s">
        <v>13</v>
      </c>
      <c r="B54" s="4"/>
      <c r="C54" s="4"/>
      <c r="D54" s="4"/>
    </row>
    <row r="55" spans="1:6">
      <c r="A55" s="70" t="s">
        <v>218</v>
      </c>
      <c r="B55" s="4"/>
      <c r="C55" s="4"/>
      <c r="D55" s="4"/>
    </row>
    <row r="56" spans="1:6">
      <c r="A56" s="70" t="s">
        <v>29</v>
      </c>
      <c r="B56" s="4"/>
      <c r="C56" s="4"/>
      <c r="D56" s="4"/>
    </row>
    <row r="57" spans="1:6">
      <c r="A57" s="70" t="s">
        <v>219</v>
      </c>
      <c r="B57" s="4"/>
      <c r="C57" s="4"/>
      <c r="D57" s="4"/>
    </row>
    <row r="58" spans="1:6">
      <c r="A58" s="66" t="s">
        <v>36</v>
      </c>
      <c r="B58" s="74">
        <f>B53+B54-B56</f>
        <v>0</v>
      </c>
      <c r="C58" s="74">
        <f>C53+C54-C56</f>
        <v>0</v>
      </c>
      <c r="D58" s="74">
        <f>D53+D54-D56</f>
        <v>0</v>
      </c>
    </row>
    <row r="59" spans="1:6">
      <c r="A59" s="70" t="s">
        <v>14</v>
      </c>
      <c r="B59" s="4"/>
      <c r="C59" s="4"/>
      <c r="D59" s="4"/>
    </row>
    <row r="60" spans="1:6" ht="17.25" thickBot="1">
      <c r="A60" s="66" t="s">
        <v>37</v>
      </c>
      <c r="B60" s="73">
        <f>B58-B59</f>
        <v>0</v>
      </c>
      <c r="C60" s="73">
        <f>C58-C59</f>
        <v>0</v>
      </c>
      <c r="D60" s="73">
        <f>D58-D59</f>
        <v>0</v>
      </c>
    </row>
    <row r="61" spans="1:6" ht="17.25" thickTop="1"/>
    <row r="63" spans="1:6" ht="17.25" thickBot="1">
      <c r="A63" s="68" t="s">
        <v>231</v>
      </c>
      <c r="B63" s="69" t="str">
        <f>B$5</f>
        <v>2011년</v>
      </c>
      <c r="C63" s="69" t="str">
        <f>C$5</f>
        <v>2010년</v>
      </c>
      <c r="D63" s="69" t="str">
        <f>D$5</f>
        <v>2009년</v>
      </c>
    </row>
    <row r="64" spans="1:6">
      <c r="A64" s="66" t="s">
        <v>51</v>
      </c>
      <c r="B64" s="63"/>
      <c r="C64" s="63"/>
      <c r="D64" s="63"/>
    </row>
    <row r="65" spans="1:6">
      <c r="A65" s="66" t="s">
        <v>15</v>
      </c>
      <c r="B65" s="75">
        <f>B66-B68</f>
        <v>0</v>
      </c>
      <c r="C65" s="75">
        <f>C66-C68</f>
        <v>0</v>
      </c>
      <c r="D65" s="75">
        <f>D66-D68</f>
        <v>0</v>
      </c>
    </row>
    <row r="66" spans="1:6">
      <c r="A66" s="66" t="s">
        <v>220</v>
      </c>
      <c r="B66" s="4"/>
      <c r="C66" s="4"/>
      <c r="D66" s="4"/>
      <c r="F66" s="66" t="s">
        <v>48</v>
      </c>
    </row>
    <row r="67" spans="1:6">
      <c r="A67" s="70" t="s">
        <v>221</v>
      </c>
      <c r="B67" s="4"/>
      <c r="C67" s="4"/>
      <c r="D67" s="4"/>
      <c r="F67" s="66" t="s">
        <v>46</v>
      </c>
    </row>
    <row r="68" spans="1:6">
      <c r="A68" s="70" t="s">
        <v>222</v>
      </c>
      <c r="B68" s="4"/>
      <c r="C68" s="4"/>
      <c r="D68" s="4"/>
      <c r="F68" s="66" t="s">
        <v>49</v>
      </c>
    </row>
    <row r="69" spans="1:6">
      <c r="A69" s="70" t="s">
        <v>223</v>
      </c>
      <c r="B69" s="4"/>
      <c r="C69" s="4"/>
      <c r="D69" s="4"/>
      <c r="F69" s="66" t="s">
        <v>47</v>
      </c>
    </row>
    <row r="70" spans="1:6">
      <c r="A70" s="70" t="s">
        <v>16</v>
      </c>
      <c r="B70" s="4"/>
      <c r="C70" s="4"/>
      <c r="D70" s="4"/>
    </row>
    <row r="71" spans="1:6">
      <c r="A71" s="70" t="s">
        <v>17</v>
      </c>
      <c r="B71" s="74">
        <f>B64+B65+B70</f>
        <v>0</v>
      </c>
      <c r="C71" s="74">
        <f>C64+C65+C70</f>
        <v>0</v>
      </c>
      <c r="D71" s="74">
        <f>D64+D65+D70</f>
        <v>0</v>
      </c>
    </row>
    <row r="72" spans="1:6">
      <c r="A72" s="70" t="s">
        <v>18</v>
      </c>
      <c r="B72" s="66">
        <f>C73</f>
        <v>0</v>
      </c>
      <c r="C72" s="66">
        <f>D73</f>
        <v>0</v>
      </c>
      <c r="D72" s="4"/>
      <c r="F72" s="66" t="s">
        <v>199</v>
      </c>
    </row>
    <row r="73" spans="1:6" ht="17.25" thickBot="1">
      <c r="A73" s="70" t="s">
        <v>19</v>
      </c>
      <c r="B73" s="73">
        <f>B71+B72</f>
        <v>0</v>
      </c>
      <c r="C73" s="73">
        <f>C71+C72</f>
        <v>0</v>
      </c>
      <c r="D73" s="73">
        <f>D71+D72</f>
        <v>0</v>
      </c>
      <c r="F73" s="66" t="s">
        <v>50</v>
      </c>
    </row>
    <row r="74" spans="1:6" ht="17.25" thickTop="1">
      <c r="A74" s="83"/>
      <c r="B74" s="83" t="str">
        <f>IF(B21-B73=0, "", "오류")</f>
        <v/>
      </c>
      <c r="C74" s="83" t="str">
        <f>IF(C21-C73=0, "", "오류")</f>
        <v/>
      </c>
      <c r="D74" s="83" t="str">
        <f>IF(D21-D73=0, "", "오류")</f>
        <v/>
      </c>
      <c r="F74" s="66" t="str">
        <f>IF(OR(B74="오류", C74="오류", D74="오류"), "재무상태표상 현금과 일치하지 않습니다. 입력내용을 재확인하세요", "")</f>
        <v/>
      </c>
    </row>
    <row r="76" spans="1:6" ht="17.25" thickBot="1">
      <c r="A76" s="68" t="s">
        <v>232</v>
      </c>
      <c r="B76" s="69" t="str">
        <f>B$5</f>
        <v>2011년</v>
      </c>
      <c r="C76" s="69" t="str">
        <f>C$5</f>
        <v>2010년</v>
      </c>
      <c r="D76" s="69" t="str">
        <f>D$5</f>
        <v>2009년</v>
      </c>
      <c r="F76" s="66" t="s">
        <v>233</v>
      </c>
    </row>
    <row r="77" spans="1:6">
      <c r="A77" s="76" t="s">
        <v>38</v>
      </c>
      <c r="B77" s="66">
        <f>A2부가가치계산항목!F7</f>
        <v>0</v>
      </c>
      <c r="C77" s="66">
        <f>A2부가가치계산항목!F17</f>
        <v>0</v>
      </c>
      <c r="D77" s="66">
        <f>A2부가가치계산항목!F27</f>
        <v>0</v>
      </c>
    </row>
    <row r="78" spans="1:6">
      <c r="A78" s="76" t="s">
        <v>39</v>
      </c>
      <c r="B78" s="66">
        <f>A2부가가치계산항목!F8</f>
        <v>0</v>
      </c>
      <c r="C78" s="66">
        <f>A2부가가치계산항목!F18</f>
        <v>0</v>
      </c>
      <c r="D78" s="66">
        <f>A2부가가치계산항목!F28</f>
        <v>0</v>
      </c>
    </row>
    <row r="79" spans="1:6">
      <c r="A79" s="76" t="s">
        <v>40</v>
      </c>
      <c r="B79" s="66">
        <f>A2부가가치계산항목!F9</f>
        <v>0</v>
      </c>
      <c r="C79" s="66">
        <f>A2부가가치계산항목!F19</f>
        <v>0</v>
      </c>
      <c r="D79" s="66">
        <f>A2부가가치계산항목!F29</f>
        <v>0</v>
      </c>
    </row>
    <row r="80" spans="1:6">
      <c r="A80" s="76" t="s">
        <v>41</v>
      </c>
      <c r="B80" s="66">
        <f>A2부가가치계산항목!F10</f>
        <v>0</v>
      </c>
      <c r="C80" s="66">
        <f>A2부가가치계산항목!F20</f>
        <v>0</v>
      </c>
      <c r="D80" s="66">
        <f>A2부가가치계산항목!F30</f>
        <v>0</v>
      </c>
    </row>
    <row r="81" spans="1:6">
      <c r="A81" s="76" t="s">
        <v>42</v>
      </c>
      <c r="B81" s="66">
        <f>A2부가가치계산항목!F11</f>
        <v>0</v>
      </c>
      <c r="C81" s="66">
        <f>A2부가가치계산항목!F21</f>
        <v>0</v>
      </c>
      <c r="D81" s="66">
        <f>A2부가가치계산항목!F31</f>
        <v>0</v>
      </c>
    </row>
    <row r="82" spans="1:6">
      <c r="A82" s="76" t="s">
        <v>43</v>
      </c>
      <c r="B82" s="66">
        <f>A2부가가치계산항목!F12</f>
        <v>0</v>
      </c>
      <c r="C82" s="66">
        <f>A2부가가치계산항목!F22</f>
        <v>0</v>
      </c>
      <c r="D82" s="66">
        <f>A2부가가치계산항목!F32</f>
        <v>0</v>
      </c>
    </row>
    <row r="83" spans="1:6">
      <c r="A83" s="76" t="s">
        <v>44</v>
      </c>
      <c r="B83" s="66">
        <f>A2부가가치계산항목!F13</f>
        <v>0</v>
      </c>
      <c r="C83" s="66">
        <f>A2부가가치계산항목!F23</f>
        <v>0</v>
      </c>
      <c r="D83" s="66">
        <f>A2부가가치계산항목!F33</f>
        <v>0</v>
      </c>
    </row>
    <row r="84" spans="1:6" ht="17.25" thickBot="1">
      <c r="A84" s="72" t="s">
        <v>20</v>
      </c>
      <c r="B84" s="73">
        <f>SUM(B77:B83)</f>
        <v>0</v>
      </c>
      <c r="C84" s="73">
        <f>SUM(C77:C83)</f>
        <v>0</v>
      </c>
      <c r="D84" s="73">
        <f>SUM(D77:D83)</f>
        <v>0</v>
      </c>
    </row>
    <row r="85" spans="1:6" ht="17.25" thickTop="1"/>
    <row r="87" spans="1:6" ht="17.25" thickBot="1">
      <c r="A87" s="68" t="s">
        <v>228</v>
      </c>
      <c r="B87" s="69"/>
      <c r="C87" s="69"/>
      <c r="D87" s="69"/>
      <c r="F87" s="66" t="s">
        <v>45</v>
      </c>
    </row>
    <row r="88" spans="1:6">
      <c r="A88" s="6"/>
      <c r="B88" s="6"/>
      <c r="C88" s="6"/>
      <c r="D88" s="6"/>
    </row>
    <row r="89" spans="1:6">
      <c r="A89" s="6"/>
      <c r="B89" s="6"/>
      <c r="C89" s="6"/>
      <c r="D89" s="6"/>
    </row>
    <row r="90" spans="1:6">
      <c r="A90" s="6"/>
      <c r="B90" s="6"/>
      <c r="C90" s="6"/>
      <c r="D90" s="6"/>
    </row>
    <row r="91" spans="1:6">
      <c r="A91" s="6"/>
      <c r="B91" s="6"/>
      <c r="C91" s="6"/>
      <c r="D91" s="6"/>
    </row>
    <row r="92" spans="1:6">
      <c r="A92" s="6"/>
      <c r="B92" s="6"/>
      <c r="C92" s="6"/>
      <c r="D92" s="6"/>
    </row>
    <row r="93" spans="1:6">
      <c r="A93" s="6"/>
      <c r="B93" s="6"/>
      <c r="C93" s="6"/>
      <c r="D93" s="6"/>
    </row>
    <row r="94" spans="1:6">
      <c r="A94" s="6"/>
      <c r="B94" s="6"/>
      <c r="C94" s="6"/>
      <c r="D94" s="6"/>
    </row>
    <row r="95" spans="1:6">
      <c r="A95" s="6"/>
      <c r="B95" s="6"/>
      <c r="C95" s="6"/>
      <c r="D95" s="6"/>
    </row>
    <row r="96" spans="1:6">
      <c r="A96" s="6"/>
      <c r="B96" s="6"/>
      <c r="C96" s="6"/>
      <c r="D96" s="6"/>
    </row>
    <row r="107" spans="1:4">
      <c r="A107" s="67"/>
      <c r="B107" s="67"/>
      <c r="C107" s="67"/>
      <c r="D107" s="67"/>
    </row>
  </sheetData>
  <sheetProtection password="83D9" sheet="1" objects="1" scenarios="1"/>
  <mergeCells count="2">
    <mergeCell ref="B1:D1"/>
    <mergeCell ref="B2:D2"/>
  </mergeCells>
  <phoneticPr fontId="2" type="noConversion"/>
  <dataValidations count="5">
    <dataValidation type="list" allowBlank="1" showInputMessage="1" showErrorMessage="1" sqref="B11:D12">
      <formula1>"YES, NO, NA"</formula1>
    </dataValidation>
    <dataValidation type="list" allowBlank="1" showInputMessage="1" showErrorMessage="1" sqref="B8:D8">
      <formula1>"적정, 한정(감사범위), 한정(기준위배), 의견거절, 부적정, 해당사항없음"</formula1>
    </dataValidation>
    <dataValidation type="list" allowBlank="1" showInputMessage="1" showErrorMessage="1" sqref="B6:D6">
      <formula1>"감사보고서, 검토보고서, 재무제표확인원, 가결산, 미제출, 기타"</formula1>
    </dataValidation>
    <dataValidation type="list" operator="greaterThan" allowBlank="1" showInputMessage="1" showErrorMessage="1" sqref="B2">
      <formula1>산업분류</formula1>
    </dataValidation>
    <dataValidation type="list" allowBlank="1" showInputMessage="1" showErrorMessage="1" sqref="B7:D7">
      <formula1>"일반기업회계기준, 국제회계기준(K-IFRS), 기업회계기준"</formula1>
    </dataValidation>
  </dataValidations>
  <printOptions horizontalCentered="1"/>
  <pageMargins left="0.78740157480314965" right="0.78740157480314965" top="0.98425196850393704" bottom="0.59055118110236227" header="0.39370078740157483" footer="0.19685039370078741"/>
  <pageSetup paperSize="9" scale="84" fitToHeight="0" orientation="portrait" r:id="rId1"/>
  <headerFooter scaleWithDoc="0">
    <oddHeader>&amp;L&amp;"-,굵게"스타기업 육성사업 재무건전성 평가 기초자료</oddHeader>
    <oddFooter>&amp;R&amp;P</oddFooter>
  </headerFooter>
  <rowBreaks count="1" manualBreakCount="1">
    <brk id="4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4"/>
  <sheetViews>
    <sheetView showGridLines="0" zoomScale="90" zoomScaleNormal="90" workbookViewId="0"/>
  </sheetViews>
  <sheetFormatPr defaultColWidth="15.625" defaultRowHeight="16.5"/>
  <cols>
    <col min="1" max="1" width="15.625" style="1"/>
    <col min="2" max="3" width="16.625" style="1" customWidth="1"/>
    <col min="4" max="5" width="15.625" style="1"/>
    <col min="6" max="6" width="16.625" style="1" customWidth="1"/>
    <col min="7" max="16384" width="15.625" style="1"/>
  </cols>
  <sheetData>
    <row r="1" spans="1:8">
      <c r="A1" s="51" t="s">
        <v>235</v>
      </c>
    </row>
    <row r="2" spans="1:8">
      <c r="A2" s="2"/>
    </row>
    <row r="3" spans="1:8">
      <c r="A3" s="2" t="s">
        <v>224</v>
      </c>
      <c r="H3" s="2"/>
    </row>
    <row r="4" spans="1:8">
      <c r="A4" s="1" t="s">
        <v>225</v>
      </c>
      <c r="H4" s="2"/>
    </row>
    <row r="5" spans="1:8">
      <c r="F5" s="65" t="s">
        <v>234</v>
      </c>
      <c r="H5" s="2"/>
    </row>
    <row r="6" spans="1:8" ht="17.25" thickBot="1">
      <c r="A6" s="41" t="str">
        <f>A1기초자료입력!B5</f>
        <v>2011년</v>
      </c>
      <c r="B6" s="11" t="s">
        <v>56</v>
      </c>
      <c r="C6" s="11" t="s">
        <v>57</v>
      </c>
      <c r="D6" s="11" t="s">
        <v>58</v>
      </c>
      <c r="E6" s="11" t="s">
        <v>59</v>
      </c>
      <c r="F6" s="12" t="s">
        <v>60</v>
      </c>
    </row>
    <row r="7" spans="1:8">
      <c r="A7" s="42" t="s">
        <v>104</v>
      </c>
      <c r="B7" s="77"/>
      <c r="C7" s="77"/>
      <c r="D7" s="77"/>
      <c r="E7" s="77"/>
      <c r="F7" s="43">
        <f t="shared" ref="F7:F13" si="0">SUM(B7:E7)</f>
        <v>0</v>
      </c>
    </row>
    <row r="8" spans="1:8">
      <c r="A8" s="44" t="s">
        <v>105</v>
      </c>
      <c r="B8" s="78"/>
      <c r="C8" s="78"/>
      <c r="D8" s="78"/>
      <c r="E8" s="78"/>
      <c r="F8" s="45">
        <f t="shared" si="0"/>
        <v>0</v>
      </c>
    </row>
    <row r="9" spans="1:8">
      <c r="A9" s="44" t="s">
        <v>106</v>
      </c>
      <c r="B9" s="78"/>
      <c r="C9" s="78"/>
      <c r="D9" s="78"/>
      <c r="E9" s="78"/>
      <c r="F9" s="45">
        <f t="shared" si="0"/>
        <v>0</v>
      </c>
    </row>
    <row r="10" spans="1:8">
      <c r="A10" s="44" t="s">
        <v>107</v>
      </c>
      <c r="B10" s="78"/>
      <c r="C10" s="78"/>
      <c r="D10" s="78"/>
      <c r="E10" s="78"/>
      <c r="F10" s="45">
        <f t="shared" si="0"/>
        <v>0</v>
      </c>
    </row>
    <row r="11" spans="1:8">
      <c r="A11" s="44" t="s">
        <v>108</v>
      </c>
      <c r="B11" s="78"/>
      <c r="C11" s="78"/>
      <c r="D11" s="78"/>
      <c r="E11" s="78"/>
      <c r="F11" s="45">
        <f t="shared" si="0"/>
        <v>0</v>
      </c>
    </row>
    <row r="12" spans="1:8">
      <c r="A12" s="44" t="s">
        <v>61</v>
      </c>
      <c r="B12" s="78"/>
      <c r="C12" s="78"/>
      <c r="D12" s="78"/>
      <c r="E12" s="78"/>
      <c r="F12" s="45">
        <f t="shared" si="0"/>
        <v>0</v>
      </c>
    </row>
    <row r="13" spans="1:8">
      <c r="A13" s="46" t="s">
        <v>185</v>
      </c>
      <c r="B13" s="79"/>
      <c r="C13" s="79"/>
      <c r="D13" s="79"/>
      <c r="E13" s="79"/>
      <c r="F13" s="47">
        <f t="shared" si="0"/>
        <v>0</v>
      </c>
    </row>
    <row r="14" spans="1:8">
      <c r="A14" s="48" t="s">
        <v>20</v>
      </c>
      <c r="B14" s="13">
        <f>SUM(B7:B13)</f>
        <v>0</v>
      </c>
      <c r="C14" s="13">
        <f>SUM(C7:C13)</f>
        <v>0</v>
      </c>
      <c r="D14" s="13">
        <f>SUM(D7:D13)</f>
        <v>0</v>
      </c>
      <c r="E14" s="13">
        <f>SUM(E7:E13)</f>
        <v>0</v>
      </c>
      <c r="F14" s="14">
        <f>SUM(F7:F13)</f>
        <v>0</v>
      </c>
    </row>
    <row r="16" spans="1:8" ht="17.25" thickBot="1">
      <c r="A16" s="41" t="str">
        <f>A1기초자료입력!C5</f>
        <v>2010년</v>
      </c>
      <c r="B16" s="11" t="s">
        <v>180</v>
      </c>
      <c r="C16" s="11" t="s">
        <v>181</v>
      </c>
      <c r="D16" s="11" t="s">
        <v>182</v>
      </c>
      <c r="E16" s="11" t="s">
        <v>183</v>
      </c>
      <c r="F16" s="12" t="s">
        <v>184</v>
      </c>
    </row>
    <row r="17" spans="1:6">
      <c r="A17" s="42" t="s">
        <v>188</v>
      </c>
      <c r="B17" s="77"/>
      <c r="C17" s="77"/>
      <c r="D17" s="77"/>
      <c r="E17" s="77"/>
      <c r="F17" s="43">
        <f t="shared" ref="F17:F23" si="1">SUM(B17:E17)</f>
        <v>0</v>
      </c>
    </row>
    <row r="18" spans="1:6">
      <c r="A18" s="44" t="s">
        <v>189</v>
      </c>
      <c r="B18" s="78"/>
      <c r="C18" s="78"/>
      <c r="D18" s="78"/>
      <c r="E18" s="78"/>
      <c r="F18" s="45">
        <f t="shared" si="1"/>
        <v>0</v>
      </c>
    </row>
    <row r="19" spans="1:6">
      <c r="A19" s="44" t="s">
        <v>190</v>
      </c>
      <c r="B19" s="78"/>
      <c r="C19" s="78"/>
      <c r="D19" s="78"/>
      <c r="E19" s="78"/>
      <c r="F19" s="45">
        <f t="shared" si="1"/>
        <v>0</v>
      </c>
    </row>
    <row r="20" spans="1:6">
      <c r="A20" s="44" t="s">
        <v>191</v>
      </c>
      <c r="B20" s="78"/>
      <c r="C20" s="78"/>
      <c r="D20" s="78"/>
      <c r="E20" s="78"/>
      <c r="F20" s="45">
        <f t="shared" si="1"/>
        <v>0</v>
      </c>
    </row>
    <row r="21" spans="1:6">
      <c r="A21" s="44" t="s">
        <v>192</v>
      </c>
      <c r="B21" s="78"/>
      <c r="C21" s="78"/>
      <c r="D21" s="78"/>
      <c r="E21" s="78"/>
      <c r="F21" s="45">
        <f t="shared" si="1"/>
        <v>0</v>
      </c>
    </row>
    <row r="22" spans="1:6">
      <c r="A22" s="44" t="s">
        <v>193</v>
      </c>
      <c r="B22" s="78"/>
      <c r="C22" s="78"/>
      <c r="D22" s="78"/>
      <c r="E22" s="78"/>
      <c r="F22" s="45">
        <f t="shared" si="1"/>
        <v>0</v>
      </c>
    </row>
    <row r="23" spans="1:6">
      <c r="A23" s="46" t="s">
        <v>194</v>
      </c>
      <c r="B23" s="79"/>
      <c r="C23" s="79"/>
      <c r="D23" s="79"/>
      <c r="E23" s="79"/>
      <c r="F23" s="47">
        <f t="shared" si="1"/>
        <v>0</v>
      </c>
    </row>
    <row r="24" spans="1:6">
      <c r="A24" s="48" t="s">
        <v>195</v>
      </c>
      <c r="B24" s="13">
        <f>SUM(B17:B23)</f>
        <v>0</v>
      </c>
      <c r="C24" s="13">
        <f>SUM(C17:C23)</f>
        <v>0</v>
      </c>
      <c r="D24" s="13">
        <f>SUM(D17:D23)</f>
        <v>0</v>
      </c>
      <c r="E24" s="13">
        <f>SUM(E17:E23)</f>
        <v>0</v>
      </c>
      <c r="F24" s="14">
        <f>SUM(F17:F23)</f>
        <v>0</v>
      </c>
    </row>
    <row r="26" spans="1:6" ht="17.25" thickBot="1">
      <c r="A26" s="41" t="str">
        <f>A1기초자료입력!D5</f>
        <v>2009년</v>
      </c>
      <c r="B26" s="11" t="s">
        <v>180</v>
      </c>
      <c r="C26" s="11" t="s">
        <v>181</v>
      </c>
      <c r="D26" s="11" t="s">
        <v>182</v>
      </c>
      <c r="E26" s="11" t="s">
        <v>183</v>
      </c>
      <c r="F26" s="12" t="s">
        <v>184</v>
      </c>
    </row>
    <row r="27" spans="1:6">
      <c r="A27" s="42" t="s">
        <v>188</v>
      </c>
      <c r="B27" s="77"/>
      <c r="C27" s="77"/>
      <c r="D27" s="77"/>
      <c r="E27" s="77"/>
      <c r="F27" s="43">
        <f t="shared" ref="F27:F33" si="2">SUM(B27:E27)</f>
        <v>0</v>
      </c>
    </row>
    <row r="28" spans="1:6">
      <c r="A28" s="44" t="s">
        <v>189</v>
      </c>
      <c r="B28" s="78"/>
      <c r="C28" s="78"/>
      <c r="D28" s="78"/>
      <c r="E28" s="78"/>
      <c r="F28" s="45">
        <f t="shared" si="2"/>
        <v>0</v>
      </c>
    </row>
    <row r="29" spans="1:6">
      <c r="A29" s="44" t="s">
        <v>190</v>
      </c>
      <c r="B29" s="78"/>
      <c r="C29" s="78"/>
      <c r="D29" s="78"/>
      <c r="E29" s="78"/>
      <c r="F29" s="45">
        <f t="shared" si="2"/>
        <v>0</v>
      </c>
    </row>
    <row r="30" spans="1:6">
      <c r="A30" s="44" t="s">
        <v>191</v>
      </c>
      <c r="B30" s="78"/>
      <c r="C30" s="78"/>
      <c r="D30" s="78"/>
      <c r="E30" s="78"/>
      <c r="F30" s="45">
        <f t="shared" si="2"/>
        <v>0</v>
      </c>
    </row>
    <row r="31" spans="1:6">
      <c r="A31" s="44" t="s">
        <v>192</v>
      </c>
      <c r="B31" s="78"/>
      <c r="C31" s="78"/>
      <c r="D31" s="78"/>
      <c r="E31" s="78"/>
      <c r="F31" s="45">
        <f>SUM(B31:E31)</f>
        <v>0</v>
      </c>
    </row>
    <row r="32" spans="1:6">
      <c r="A32" s="44" t="s">
        <v>193</v>
      </c>
      <c r="B32" s="78"/>
      <c r="C32" s="78"/>
      <c r="D32" s="78"/>
      <c r="E32" s="78"/>
      <c r="F32" s="45">
        <f t="shared" si="2"/>
        <v>0</v>
      </c>
    </row>
    <row r="33" spans="1:6">
      <c r="A33" s="46" t="s">
        <v>194</v>
      </c>
      <c r="B33" s="79"/>
      <c r="C33" s="79"/>
      <c r="D33" s="79"/>
      <c r="E33" s="79"/>
      <c r="F33" s="47">
        <f t="shared" si="2"/>
        <v>0</v>
      </c>
    </row>
    <row r="34" spans="1:6">
      <c r="A34" s="48" t="s">
        <v>195</v>
      </c>
      <c r="B34" s="13">
        <f>SUM(B27:B33)</f>
        <v>0</v>
      </c>
      <c r="C34" s="13">
        <f>SUM(C27:C33)</f>
        <v>0</v>
      </c>
      <c r="D34" s="13">
        <f>SUM(D27:D33)</f>
        <v>0</v>
      </c>
      <c r="E34" s="13">
        <f>SUM(E27:E33)</f>
        <v>0</v>
      </c>
      <c r="F34" s="14">
        <f>SUM(F27:F33)</f>
        <v>0</v>
      </c>
    </row>
  </sheetData>
  <sheetProtection password="83D9" sheet="1" objects="1" scenarios="1"/>
  <phoneticPr fontId="2" type="noConversion"/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J26"/>
  <sheetViews>
    <sheetView showGridLines="0" zoomScale="90" zoomScaleNormal="90" workbookViewId="0"/>
  </sheetViews>
  <sheetFormatPr defaultColWidth="15.625" defaultRowHeight="21" customHeight="1"/>
  <cols>
    <col min="1" max="1" width="10.625" style="7" customWidth="1"/>
    <col min="2" max="2" width="17.625" style="7" customWidth="1"/>
    <col min="3" max="3" width="46.25" style="7" customWidth="1"/>
    <col min="4" max="4" width="7.625" style="7" customWidth="1"/>
    <col min="5" max="10" width="10.625" style="7" customWidth="1"/>
    <col min="11" max="16384" width="15.625" style="7"/>
  </cols>
  <sheetData>
    <row r="1" spans="1:10" ht="21" customHeight="1">
      <c r="A1" s="15" t="str">
        <f>"회사명 : " &amp; A1기초자료입력!B1</f>
        <v xml:space="preserve">회사명 : </v>
      </c>
      <c r="J1" s="64"/>
    </row>
    <row r="2" spans="1:10" ht="21" customHeight="1">
      <c r="A2" s="56" t="s">
        <v>100</v>
      </c>
      <c r="B2" s="57"/>
      <c r="C2" s="57"/>
      <c r="D2" s="57"/>
      <c r="E2" s="57" t="s">
        <v>101</v>
      </c>
      <c r="F2" s="57" t="s">
        <v>99</v>
      </c>
      <c r="G2" s="57"/>
      <c r="H2" s="57" t="s">
        <v>109</v>
      </c>
      <c r="I2" s="57"/>
      <c r="J2" s="58"/>
    </row>
    <row r="3" spans="1:10" ht="21" customHeight="1" thickBot="1">
      <c r="A3" s="59" t="s">
        <v>67</v>
      </c>
      <c r="B3" s="60" t="s">
        <v>68</v>
      </c>
      <c r="C3" s="60" t="s">
        <v>102</v>
      </c>
      <c r="D3" s="61" t="s">
        <v>69</v>
      </c>
      <c r="E3" s="60" t="s">
        <v>175</v>
      </c>
      <c r="F3" s="88" t="s">
        <v>175</v>
      </c>
      <c r="G3" s="89" t="s">
        <v>174</v>
      </c>
      <c r="H3" s="88" t="s">
        <v>110</v>
      </c>
      <c r="I3" s="92" t="str">
        <f>F3</f>
        <v>2011년</v>
      </c>
      <c r="J3" s="93" t="str">
        <f>G3</f>
        <v>2010년</v>
      </c>
    </row>
    <row r="4" spans="1:10" ht="21" customHeight="1">
      <c r="A4" s="125" t="s">
        <v>70</v>
      </c>
      <c r="B4" s="25" t="s">
        <v>71</v>
      </c>
      <c r="C4" s="25" t="s">
        <v>112</v>
      </c>
      <c r="D4" s="26">
        <v>10</v>
      </c>
      <c r="E4" s="86" t="e">
        <f>VLOOKUP(A1기초자료입력!$B$2,산업평균비율,2,FALSE)</f>
        <v>#N/A</v>
      </c>
      <c r="F4" s="112" t="str">
        <f>IF(A1기초자료입력!B44=0, "n/a", A1기초자료입력!B37/A1기초자료입력!B44*100)</f>
        <v>n/a</v>
      </c>
      <c r="G4" s="113" t="str">
        <f>IF(A1기초자료입력!C44=0, "n/a", A1기초자료입력!C37/A1기초자료입력!C44*100)</f>
        <v>n/a</v>
      </c>
      <c r="H4" s="94">
        <f>ROUND((I4*2+J4*1)/3,0)</f>
        <v>10</v>
      </c>
      <c r="I4" s="95">
        <f>IF(F4="n/a", D4, MEDIAN(ROUNDDOWN((130%-(IF($E4&gt;0,F4/$E4,(F4-$E4)/-$E4+100%)))*10,0),5,1)*$D4/5)</f>
        <v>10</v>
      </c>
      <c r="J4" s="96">
        <f>IF(G4="n/a", D4,MEDIAN(ROUNDDOWN((130%-(IF($E4&gt;0,G4/$E4,(G4-$E4)/-$E4+100%)))*10,0),5,1)*$D4/5)</f>
        <v>10</v>
      </c>
    </row>
    <row r="5" spans="1:10" ht="21" customHeight="1">
      <c r="A5" s="124"/>
      <c r="B5" s="27" t="s">
        <v>72</v>
      </c>
      <c r="C5" s="27" t="s">
        <v>73</v>
      </c>
      <c r="D5" s="28">
        <v>5</v>
      </c>
      <c r="E5" s="36" t="e">
        <f>VLOOKUP(A1기초자료입력!$B$2,산업평균비율,3,FALSE)</f>
        <v>#N/A</v>
      </c>
      <c r="F5" s="114" t="str">
        <f>IF(A1기초자료입력!B32=0, "n/a", A1기초자료입력!B19/A1기초자료입력!B32*100)</f>
        <v>n/a</v>
      </c>
      <c r="G5" s="115" t="str">
        <f>IF(A1기초자료입력!C32=0, "n/a", A1기초자료입력!C19/A1기초자료입력!C32*100)</f>
        <v>n/a</v>
      </c>
      <c r="H5" s="97">
        <f t="shared" ref="H5:H20" si="0">ROUND((I5*2+J5*1)/3,0)</f>
        <v>5</v>
      </c>
      <c r="I5" s="98">
        <f>IF(F5="n/a", D5, MEDIAN(ROUNDDOWN(((IF($E5&gt;0,F5/$E5,(F5-$E5)/-$E5+100%))-70%)*10,0),5,1)*$D5/5)</f>
        <v>5</v>
      </c>
      <c r="J5" s="99">
        <f>IF(G5="n/a", D5, MEDIAN(ROUNDDOWN(((IF($E5&gt;0,G5/$E5,(G5-$E5)/-$E5+100%))-70%)*10,0),5,1)*$D5/5)</f>
        <v>5</v>
      </c>
    </row>
    <row r="6" spans="1:10" ht="21" customHeight="1">
      <c r="A6" s="124"/>
      <c r="B6" s="29" t="s">
        <v>74</v>
      </c>
      <c r="C6" s="29" t="s">
        <v>75</v>
      </c>
      <c r="D6" s="30">
        <v>5</v>
      </c>
      <c r="E6" s="37" t="e">
        <f>VLOOKUP(A1기초자료입력!$B$2,산업평균비율,4,FALSE)</f>
        <v>#N/A</v>
      </c>
      <c r="F6" s="116" t="str">
        <f>IF(A1기초자료입력!B30=0, "n/a", (A1기초자료입력!B33+A1기초자료입력!B34+A1기초자료입력!B36)/A1기초자료입력!B30*100)</f>
        <v>n/a</v>
      </c>
      <c r="G6" s="117" t="str">
        <f>IF(A1기초자료입력!C30=0, "n/a", (A1기초자료입력!C33+A1기초자료입력!C34+A1기초자료입력!C36)/A1기초자료입력!C30*100)</f>
        <v>n/a</v>
      </c>
      <c r="H6" s="100">
        <f t="shared" si="0"/>
        <v>5</v>
      </c>
      <c r="I6" s="101">
        <f>IF(F6="n/a", D6, MEDIAN(ROUNDDOWN((130%-(IF($E6&gt;0,F6/$E6,(F6-$E6)/-$E6+100%)))*10,0),5,1)*$D6/5)</f>
        <v>5</v>
      </c>
      <c r="J6" s="102">
        <f>IF(G6="n/a", D6,MEDIAN(ROUNDDOWN((130%-(IF($E6&gt;0,G6/$E6,(G6-$E6)/-$E6+100%)))*10,0),5,1)*$D6/5)</f>
        <v>5</v>
      </c>
    </row>
    <row r="7" spans="1:10" ht="21" customHeight="1">
      <c r="A7" s="124" t="s">
        <v>76</v>
      </c>
      <c r="B7" s="31" t="s">
        <v>77</v>
      </c>
      <c r="C7" s="31" t="s">
        <v>78</v>
      </c>
      <c r="D7" s="32">
        <v>10</v>
      </c>
      <c r="E7" s="35" t="e">
        <f>VLOOKUP(A1기초자료입력!$B$2,산업평균비율,5,FALSE)</f>
        <v>#N/A</v>
      </c>
      <c r="F7" s="118" t="str">
        <f>IF(A1기초자료입력!B49=0, "n/a", A1기초자료입력!B53/A1기초자료입력!B49*100)</f>
        <v>n/a</v>
      </c>
      <c r="G7" s="119" t="str">
        <f>IF(A1기초자료입력!C49=0, "n/a", A1기초자료입력!C53/A1기초자료입력!C49*100)</f>
        <v>n/a</v>
      </c>
      <c r="H7" s="103">
        <f t="shared" si="0"/>
        <v>10</v>
      </c>
      <c r="I7" s="104">
        <f t="shared" ref="I7:I8" si="1">IF(F7="n/a", D7, MEDIAN(ROUNDDOWN(((IF($E7&gt;0,F7/$E7,(F7-$E7)/-$E7+100%))-70%)*10,0),5,1)*$D7/5)</f>
        <v>10</v>
      </c>
      <c r="J7" s="105">
        <f t="shared" ref="J7:J8" si="2">IF(G7="n/a", D7, MEDIAN(ROUNDDOWN(((IF($E7&gt;0,G7/$E7,(G7-$E7)/-$E7+100%))-70%)*10,0),5,1)*$D7/5)</f>
        <v>10</v>
      </c>
    </row>
    <row r="8" spans="1:10" ht="21" customHeight="1">
      <c r="A8" s="124"/>
      <c r="B8" s="27" t="s">
        <v>113</v>
      </c>
      <c r="C8" s="27" t="s">
        <v>114</v>
      </c>
      <c r="D8" s="28">
        <v>5</v>
      </c>
      <c r="E8" s="36" t="e">
        <f>VLOOKUP(A1기초자료입력!$B$2,산업평균비율,6,FALSE)</f>
        <v>#N/A</v>
      </c>
      <c r="F8" s="114" t="str">
        <f>IF((A1기초자료입력!B30+A1기초자료입력!C30)=0, "n/a", A1기초자료입력!B58/((A1기초자료입력!B30+A1기초자료입력!C30)/2)*100)</f>
        <v>n/a</v>
      </c>
      <c r="G8" s="115" t="str">
        <f>IF((A1기초자료입력!C30+A1기초자료입력!D30)=0, "n/a", A1기초자료입력!C58/((A1기초자료입력!C30+A1기초자료입력!D30)/2)*100)</f>
        <v>n/a</v>
      </c>
      <c r="H8" s="97">
        <f t="shared" si="0"/>
        <v>5</v>
      </c>
      <c r="I8" s="98">
        <f t="shared" si="1"/>
        <v>5</v>
      </c>
      <c r="J8" s="99">
        <f t="shared" si="2"/>
        <v>5</v>
      </c>
    </row>
    <row r="9" spans="1:10" ht="21" customHeight="1">
      <c r="A9" s="124"/>
      <c r="B9" s="29" t="s">
        <v>79</v>
      </c>
      <c r="C9" s="29" t="s">
        <v>80</v>
      </c>
      <c r="D9" s="30">
        <v>5</v>
      </c>
      <c r="E9" s="37" t="e">
        <f>VLOOKUP(A1기초자료입력!$B$2,산업평균비율,6,FALSE)</f>
        <v>#N/A</v>
      </c>
      <c r="F9" s="116" t="str">
        <f>IF(A1기초자료입력!B57=0, "n/a", A1기초자료입력!B53/A1기초자료입력!B57*100)</f>
        <v>n/a</v>
      </c>
      <c r="G9" s="117" t="str">
        <f>IF(A1기초자료입력!C57=0, "n/a", A1기초자료입력!C53/A1기초자료입력!C57*100)</f>
        <v>n/a</v>
      </c>
      <c r="H9" s="100">
        <f t="shared" si="0"/>
        <v>5</v>
      </c>
      <c r="I9" s="101">
        <f>IF(F9="n/a", D9, MEDIAN(ROUNDDOWN(((IF($E9&gt;0,F9/$E9,(F9-$E9)/-$E9+100%))-70%)*10,0),5,1)*$D9/5)</f>
        <v>5</v>
      </c>
      <c r="J9" s="102">
        <f>IF(G9="n/a", D9, MEDIAN(ROUNDDOWN(((IF($E9&gt;0,G9/$E9,(G9-$E9)/-$E9+100%))-70%)*10,0),5,1)*$D9/5)</f>
        <v>5</v>
      </c>
    </row>
    <row r="10" spans="1:10" ht="21" customHeight="1">
      <c r="A10" s="126" t="s">
        <v>81</v>
      </c>
      <c r="B10" s="33" t="s">
        <v>82</v>
      </c>
      <c r="C10" s="33" t="s">
        <v>115</v>
      </c>
      <c r="D10" s="34">
        <v>10</v>
      </c>
      <c r="E10" s="87" t="e">
        <f>VLOOKUP(A1기초자료입력!$B$2,산업평균비율,8,FALSE)</f>
        <v>#N/A</v>
      </c>
      <c r="F10" s="120" t="str">
        <f>IF(A1기초자료입력!C49=0, "n/a", A1기초자료입력!B49/A1기초자료입력!C49*100-100)</f>
        <v>n/a</v>
      </c>
      <c r="G10" s="121" t="str">
        <f>IF(A1기초자료입력!D49=0, "n/a", A1기초자료입력!C49/A1기초자료입력!D49*100-100)</f>
        <v>n/a</v>
      </c>
      <c r="H10" s="106">
        <f>ROUND((I10*1+J10*1)/2,0)</f>
        <v>10</v>
      </c>
      <c r="I10" s="107">
        <f t="shared" ref="I10:I20" si="3">IF(F10="n/a", D10, MEDIAN(ROUNDDOWN(((IF($E10&gt;0,F10/$E10,(F10-$E10)/-$E10+100%))-70%)*10,0),5,1)*$D10/5)</f>
        <v>10</v>
      </c>
      <c r="J10" s="108">
        <f t="shared" ref="J10:J20" si="4">IF(G10="n/a", D10, MEDIAN(ROUNDDOWN(((IF($E10&gt;0,G10/$E10,(G10-$E10)/-$E10+100%))-70%)*10,0),5,1)*$D10/5)</f>
        <v>10</v>
      </c>
    </row>
    <row r="11" spans="1:10" ht="21" customHeight="1">
      <c r="A11" s="127"/>
      <c r="B11" s="27" t="s">
        <v>83</v>
      </c>
      <c r="C11" s="27" t="s">
        <v>116</v>
      </c>
      <c r="D11" s="28">
        <v>5</v>
      </c>
      <c r="E11" s="36" t="e">
        <f>VLOOKUP(A1기초자료입력!$B$2,산업평균비율,9,FALSE)</f>
        <v>#N/A</v>
      </c>
      <c r="F11" s="114" t="str">
        <f>IF(A1기초자료입력!C30=0, "n/a", A1기초자료입력!B30/A1기초자료입력!C30*100-100)</f>
        <v>n/a</v>
      </c>
      <c r="G11" s="115" t="str">
        <f>IF(A1기초자료입력!D30=0, "n/a", A1기초자료입력!C30/A1기초자료입력!D30*100-100)</f>
        <v>n/a</v>
      </c>
      <c r="H11" s="97">
        <f>ROUND((I11*1+J11*1)/2,0)</f>
        <v>5</v>
      </c>
      <c r="I11" s="98">
        <f t="shared" si="3"/>
        <v>5</v>
      </c>
      <c r="J11" s="99">
        <f t="shared" si="4"/>
        <v>5</v>
      </c>
    </row>
    <row r="12" spans="1:10" ht="21" customHeight="1">
      <c r="A12" s="128"/>
      <c r="B12" s="29" t="s">
        <v>84</v>
      </c>
      <c r="C12" s="29" t="s">
        <v>117</v>
      </c>
      <c r="D12" s="30">
        <v>5</v>
      </c>
      <c r="E12" s="37" t="e">
        <f>VLOOKUP(A1기초자료입력!$B$2,산업평균비율,10,FALSE)</f>
        <v>#N/A</v>
      </c>
      <c r="F12" s="116" t="str">
        <f>IF(A1기초자료입력!C26=0, "n/a", A1기초자료입력!B26/A1기초자료입력!C26*100-100)</f>
        <v>n/a</v>
      </c>
      <c r="G12" s="117" t="str">
        <f>IF(A1기초자료입력!D26=0, "n/a", A1기초자료입력!C26/A1기초자료입력!D26*100-100)</f>
        <v>n/a</v>
      </c>
      <c r="H12" s="100">
        <f>ROUND((I12*1+J12*1)/2,0)</f>
        <v>5</v>
      </c>
      <c r="I12" s="101">
        <f t="shared" si="3"/>
        <v>5</v>
      </c>
      <c r="J12" s="102">
        <f t="shared" si="4"/>
        <v>5</v>
      </c>
    </row>
    <row r="13" spans="1:10" ht="21" customHeight="1">
      <c r="A13" s="124" t="s">
        <v>85</v>
      </c>
      <c r="B13" s="31" t="s">
        <v>86</v>
      </c>
      <c r="C13" s="31" t="s">
        <v>118</v>
      </c>
      <c r="D13" s="32">
        <v>5</v>
      </c>
      <c r="E13" s="35" t="e">
        <f>VLOOKUP(A1기초자료입력!$B$2,산업평균비율,11,FALSE)</f>
        <v>#N/A</v>
      </c>
      <c r="F13" s="118" t="str">
        <f>IF((A1기초자료입력!B30+A1기초자료입력!C30)=0, "n/a", A1기초자료입력!B49/((A1기초자료입력!B30+A1기초자료입력!C30)/2))</f>
        <v>n/a</v>
      </c>
      <c r="G13" s="119" t="str">
        <f>IF((A1기초자료입력!C30+A1기초자료입력!D30)=0, "n/a", A1기초자료입력!C49/((A1기초자료입력!C30+A1기초자료입력!D30)/2))</f>
        <v>n/a</v>
      </c>
      <c r="H13" s="103">
        <f t="shared" si="0"/>
        <v>5</v>
      </c>
      <c r="I13" s="104">
        <f t="shared" si="3"/>
        <v>5</v>
      </c>
      <c r="J13" s="105">
        <f t="shared" si="4"/>
        <v>5</v>
      </c>
    </row>
    <row r="14" spans="1:10" ht="21" customHeight="1">
      <c r="A14" s="124"/>
      <c r="B14" s="27" t="s">
        <v>87</v>
      </c>
      <c r="C14" s="27" t="s">
        <v>119</v>
      </c>
      <c r="D14" s="28">
        <v>5</v>
      </c>
      <c r="E14" s="36" t="e">
        <f>VLOOKUP(A1기초자료입력!$B$2,산업평균비율,12,FALSE)</f>
        <v>#N/A</v>
      </c>
      <c r="F14" s="114" t="str">
        <f>IF((A1기초자료입력!B22+A1기초자료입력!C22)=0, "n/a", A1기초자료입력!B49/((A1기초자료입력!B22+A1기초자료입력!C22)/2))</f>
        <v>n/a</v>
      </c>
      <c r="G14" s="115" t="str">
        <f>IF((A1기초자료입력!C22+A1기초자료입력!D22)=0, "n/a", A1기초자료입력!C49/((A1기초자료입력!C22+A1기초자료입력!D22)/2))</f>
        <v>n/a</v>
      </c>
      <c r="H14" s="97">
        <f t="shared" si="0"/>
        <v>5</v>
      </c>
      <c r="I14" s="98">
        <f t="shared" si="3"/>
        <v>5</v>
      </c>
      <c r="J14" s="99">
        <f t="shared" si="4"/>
        <v>5</v>
      </c>
    </row>
    <row r="15" spans="1:10" ht="21" customHeight="1">
      <c r="A15" s="124"/>
      <c r="B15" s="29" t="s">
        <v>88</v>
      </c>
      <c r="C15" s="29" t="s">
        <v>120</v>
      </c>
      <c r="D15" s="30">
        <v>5</v>
      </c>
      <c r="E15" s="37" t="e">
        <f>VLOOKUP(A1기초자료입력!$B$2,산업평균비율,13,FALSE)</f>
        <v>#N/A</v>
      </c>
      <c r="F15" s="116" t="str">
        <f>IF((A1기초자료입력!B23+A1기초자료입력!C23)=0, "n/a", A1기초자료입력!B49/((A1기초자료입력!B23+A1기초자료입력!C23)/2))</f>
        <v>n/a</v>
      </c>
      <c r="G15" s="117" t="str">
        <f>IF((A1기초자료입력!C23+A1기초자료입력!D23)=0, "n/a", A1기초자료입력!C49/((A1기초자료입력!C23+A1기초자료입력!D23)/2))</f>
        <v>n/a</v>
      </c>
      <c r="H15" s="100">
        <f t="shared" si="0"/>
        <v>5</v>
      </c>
      <c r="I15" s="101">
        <f t="shared" si="3"/>
        <v>5</v>
      </c>
      <c r="J15" s="102">
        <f t="shared" si="4"/>
        <v>5</v>
      </c>
    </row>
    <row r="16" spans="1:10" ht="21" customHeight="1">
      <c r="A16" s="124" t="s">
        <v>89</v>
      </c>
      <c r="B16" s="31" t="s">
        <v>90</v>
      </c>
      <c r="C16" s="31" t="s">
        <v>121</v>
      </c>
      <c r="D16" s="32">
        <v>5</v>
      </c>
      <c r="E16" s="35" t="e">
        <f>VLOOKUP(A1기초자료입력!$B$2,산업평균비율,14,FALSE)</f>
        <v>#N/A</v>
      </c>
      <c r="F16" s="118" t="str">
        <f>IF(A1기초자료입력!C49=0, "n/a", (A1기초자료입력!B58+SUM(A1기초자료입력!B77:B83)+A1기초자료입력!B57-A1기초자료입력!B55)/A1기초자료입력!B49*100)</f>
        <v>n/a</v>
      </c>
      <c r="G16" s="119" t="str">
        <f>IF(A1기초자료입력!D49=0, "n/a", (A1기초자료입력!C58+SUM(A1기초자료입력!C77:C83)+A1기초자료입력!C57-A1기초자료입력!C55)/A1기초자료입력!C49*100)</f>
        <v>n/a</v>
      </c>
      <c r="H16" s="103">
        <f t="shared" si="0"/>
        <v>5</v>
      </c>
      <c r="I16" s="104">
        <f t="shared" si="3"/>
        <v>5</v>
      </c>
      <c r="J16" s="105">
        <f t="shared" si="4"/>
        <v>5</v>
      </c>
    </row>
    <row r="17" spans="1:10" ht="21" customHeight="1">
      <c r="A17" s="124"/>
      <c r="B17" s="27" t="s">
        <v>91</v>
      </c>
      <c r="C17" s="27" t="s">
        <v>97</v>
      </c>
      <c r="D17" s="28">
        <v>5</v>
      </c>
      <c r="E17" s="36" t="e">
        <f>VLOOKUP(A1기초자료입력!$B$2,산업평균비율,15,FALSE)</f>
        <v>#N/A</v>
      </c>
      <c r="F17" s="114" t="str">
        <f>IF((A1기초자료입력!B30+A1기초자료입력!C30)=0, "n/a", (A1기초자료입력!B58+SUM(A1기초자료입력!B77:B83)+A1기초자료입력!B57-A1기초자료입력!B55)/((A1기초자료입력!B30+A1기초자료입력!C30)/2)*100)</f>
        <v>n/a</v>
      </c>
      <c r="G17" s="115" t="str">
        <f>IF((A1기초자료입력!C30+A1기초자료입력!D30)=0, "n/a", (A1기초자료입력!C58+SUM(A1기초자료입력!C77:C83)+A1기초자료입력!C57-A1기초자료입력!C55)/((A1기초자료입력!C30+A1기초자료입력!D30)/2)*100)</f>
        <v>n/a</v>
      </c>
      <c r="H17" s="97">
        <f t="shared" si="0"/>
        <v>5</v>
      </c>
      <c r="I17" s="98">
        <f t="shared" si="3"/>
        <v>5</v>
      </c>
      <c r="J17" s="99">
        <f t="shared" si="4"/>
        <v>5</v>
      </c>
    </row>
    <row r="18" spans="1:10" ht="21" customHeight="1">
      <c r="A18" s="124"/>
      <c r="B18" s="29" t="s">
        <v>92</v>
      </c>
      <c r="C18" s="29" t="s">
        <v>98</v>
      </c>
      <c r="D18" s="30">
        <v>5</v>
      </c>
      <c r="E18" s="37" t="e">
        <f>VLOOKUP(A1기초자료입력!$B$2,산업평균비율,16,FALSE)</f>
        <v>#N/A</v>
      </c>
      <c r="F18" s="116" t="str">
        <f>IF((A1기초자료입력!B26-A1기초자료입력!B27+A1기초자료입력!C26-A1기초자료입력!C27)=0, "n/a", (A1기초자료입력!B58+SUM(A1기초자료입력!B77:B83)+A1기초자료입력!B57-A1기초자료입력!B55)/((A1기초자료입력!B26-A1기초자료입력!B27+A1기초자료입력!C26-A1기초자료입력!C27)/2)*100)</f>
        <v>n/a</v>
      </c>
      <c r="G18" s="117" t="str">
        <f>IF((A1기초자료입력!C26-A1기초자료입력!C27+A1기초자료입력!D26-A1기초자료입력!D27)=0, "n/a", (A1기초자료입력!C58+SUM(A1기초자료입력!C77:C83)+A1기초자료입력!C57-A1기초자료입력!C55)/((A1기초자료입력!C26-A1기초자료입력!C27+A1기초자료입력!D26-A1기초자료입력!D27)/2)*100)</f>
        <v>n/a</v>
      </c>
      <c r="H18" s="100">
        <f t="shared" si="0"/>
        <v>5</v>
      </c>
      <c r="I18" s="101">
        <f t="shared" si="3"/>
        <v>5</v>
      </c>
      <c r="J18" s="102">
        <f t="shared" si="4"/>
        <v>5</v>
      </c>
    </row>
    <row r="19" spans="1:10" ht="21" customHeight="1">
      <c r="A19" s="124" t="s">
        <v>93</v>
      </c>
      <c r="B19" s="31" t="s">
        <v>94</v>
      </c>
      <c r="C19" s="31" t="s">
        <v>122</v>
      </c>
      <c r="D19" s="32">
        <v>5</v>
      </c>
      <c r="E19" s="35" t="e">
        <f>VLOOKUP(A1기초자료입력!$B$2,산업평균비율,17,FALSE)</f>
        <v>#N/A</v>
      </c>
      <c r="F19" s="118" t="str">
        <f>IF(((A1기초자료입력!B33+A1기초자료입력!B34+A1기초자료입력!C33+A1기초자료입력!C34)/2+A1기초자료입력!B57)=0, "n/a", (A1기초자료입력!B64+A1기초자료입력!B57)/((A1기초자료입력!B33+A1기초자료입력!B34+A1기초자료입력!C33+A1기초자료입력!C34)/2+A1기초자료입력!B57)*100)</f>
        <v>n/a</v>
      </c>
      <c r="G19" s="119" t="str">
        <f>IF(((A1기초자료입력!C33+A1기초자료입력!C34+A1기초자료입력!D33+A1기초자료입력!D34)/2+A1기초자료입력!C57)=0, "n/a", (A1기초자료입력!C64+A1기초자료입력!C57)/((A1기초자료입력!C33+A1기초자료입력!C34+A1기초자료입력!D33+A1기초자료입력!D34)/2+A1기초자료입력!C57)*100)</f>
        <v>n/a</v>
      </c>
      <c r="H19" s="103">
        <f t="shared" si="0"/>
        <v>5</v>
      </c>
      <c r="I19" s="104">
        <f t="shared" si="3"/>
        <v>5</v>
      </c>
      <c r="J19" s="105">
        <f t="shared" si="4"/>
        <v>5</v>
      </c>
    </row>
    <row r="20" spans="1:10" ht="21" customHeight="1">
      <c r="A20" s="124"/>
      <c r="B20" s="29" t="s">
        <v>95</v>
      </c>
      <c r="C20" s="29" t="s">
        <v>123</v>
      </c>
      <c r="D20" s="30">
        <v>5</v>
      </c>
      <c r="E20" s="37" t="e">
        <f>VLOOKUP(A1기초자료입력!$B$2,산업평균비율,18,FALSE)</f>
        <v>#N/A</v>
      </c>
      <c r="F20" s="116" t="str">
        <f>IF((A1기초자료입력!B69-A1기초자료입력!B67)=0, "n/a", A1기초자료입력!B64/(A1기초자료입력!B69-A1기초자료입력!B67)*100)</f>
        <v>n/a</v>
      </c>
      <c r="G20" s="117" t="str">
        <f>IF((A1기초자료입력!C69-A1기초자료입력!C67)=0, "n/a", A1기초자료입력!C64/(A1기초자료입력!C69-A1기초자료입력!C67)*100)</f>
        <v>n/a</v>
      </c>
      <c r="H20" s="100">
        <f t="shared" si="0"/>
        <v>5</v>
      </c>
      <c r="I20" s="101">
        <f t="shared" si="3"/>
        <v>5</v>
      </c>
      <c r="J20" s="102">
        <f t="shared" si="4"/>
        <v>5</v>
      </c>
    </row>
    <row r="21" spans="1:10" ht="21" customHeight="1">
      <c r="A21" s="17" t="s">
        <v>96</v>
      </c>
      <c r="B21" s="18"/>
      <c r="C21" s="18"/>
      <c r="D21" s="16">
        <f>SUM(D4:D20)</f>
        <v>100</v>
      </c>
      <c r="E21" s="85"/>
      <c r="F21" s="90"/>
      <c r="G21" s="91"/>
      <c r="H21" s="109">
        <f>SUM(H4:H20)</f>
        <v>100</v>
      </c>
      <c r="I21" s="110">
        <f>SUM(I4:I20)</f>
        <v>100</v>
      </c>
      <c r="J21" s="111">
        <f>SUM(J4:J20)</f>
        <v>100</v>
      </c>
    </row>
    <row r="23" spans="1:10" ht="21" customHeight="1">
      <c r="A23" s="10" t="s">
        <v>179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1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</row>
    <row r="25" spans="1:10" ht="21" customHeight="1">
      <c r="A25" s="84"/>
      <c r="B25" s="84"/>
      <c r="C25" s="84"/>
      <c r="D25" s="84"/>
      <c r="E25" s="84"/>
      <c r="F25" s="84"/>
      <c r="G25" s="84"/>
      <c r="H25" s="84"/>
      <c r="I25" s="84"/>
      <c r="J25" s="84"/>
    </row>
    <row r="26" spans="1:10" ht="21" customHeight="1">
      <c r="A26" s="84"/>
      <c r="B26" s="84"/>
      <c r="C26" s="84"/>
      <c r="D26" s="84"/>
      <c r="E26" s="84"/>
      <c r="F26" s="84"/>
      <c r="G26" s="84"/>
      <c r="H26" s="84"/>
      <c r="I26" s="84"/>
      <c r="J26" s="84"/>
    </row>
  </sheetData>
  <sheetProtection password="83D9" sheet="1" objects="1" scenarios="1"/>
  <mergeCells count="6">
    <mergeCell ref="A7:A9"/>
    <mergeCell ref="A4:A6"/>
    <mergeCell ref="A19:A20"/>
    <mergeCell ref="A16:A18"/>
    <mergeCell ref="A13:A15"/>
    <mergeCell ref="A10:A12"/>
  </mergeCells>
  <phoneticPr fontId="2" type="noConversion"/>
  <printOptions horizontalCentered="1"/>
  <pageMargins left="0.59055118110236227" right="0.59055118110236227" top="0.98425196850393704" bottom="0.59055118110236227" header="0.39370078740157483" footer="0.39370078740157483"/>
  <pageSetup paperSize="9" scale="84" fitToHeight="0" orientation="landscape" r:id="rId1"/>
  <headerFooter alignWithMargins="0">
    <oddHeader>&amp;C&amp;14스타기업 육성사업 재무건전성 평가표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outlinePr summaryBelow="0" summaryRight="0"/>
    <pageSetUpPr fitToPage="1"/>
  </sheetPr>
  <dimension ref="A1:R53"/>
  <sheetViews>
    <sheetView showGridLines="0" zoomScale="90" zoomScaleNormal="90" zoomScalePageLayoutView="20" workbookViewId="0">
      <pane xSplit="1" ySplit="1" topLeftCell="B2" activePane="bottomRight" state="frozen"/>
      <selection activeCell="C11" sqref="C11"/>
      <selection pane="topRight" activeCell="C11" sqref="C11"/>
      <selection pane="bottomLeft" activeCell="C11" sqref="C11"/>
      <selection pane="bottomRight" activeCell="B2" sqref="B2"/>
    </sheetView>
  </sheetViews>
  <sheetFormatPr defaultColWidth="9" defaultRowHeight="16.5"/>
  <cols>
    <col min="1" max="1" width="30.625" style="8" customWidth="1"/>
    <col min="2" max="18" width="8.125" style="8" customWidth="1"/>
    <col min="19" max="16384" width="9" style="8"/>
  </cols>
  <sheetData>
    <row r="1" spans="1:18" s="82" customFormat="1" ht="50.1" customHeight="1" thickBot="1">
      <c r="A1" s="80" t="s">
        <v>1</v>
      </c>
      <c r="B1" s="81" t="s">
        <v>186</v>
      </c>
      <c r="C1" s="81" t="s">
        <v>72</v>
      </c>
      <c r="D1" s="81" t="s">
        <v>187</v>
      </c>
      <c r="E1" s="81" t="s">
        <v>77</v>
      </c>
      <c r="F1" s="81" t="s">
        <v>0</v>
      </c>
      <c r="G1" s="81" t="s">
        <v>79</v>
      </c>
      <c r="H1" s="81" t="s">
        <v>82</v>
      </c>
      <c r="I1" s="81" t="s">
        <v>83</v>
      </c>
      <c r="J1" s="81" t="s">
        <v>84</v>
      </c>
      <c r="K1" s="81" t="s">
        <v>86</v>
      </c>
      <c r="L1" s="81" t="s">
        <v>87</v>
      </c>
      <c r="M1" s="81" t="s">
        <v>88</v>
      </c>
      <c r="N1" s="81" t="s">
        <v>90</v>
      </c>
      <c r="O1" s="81" t="s">
        <v>91</v>
      </c>
      <c r="P1" s="81" t="s">
        <v>92</v>
      </c>
      <c r="Q1" s="81" t="s">
        <v>94</v>
      </c>
      <c r="R1" s="81" t="s">
        <v>95</v>
      </c>
    </row>
    <row r="2" spans="1:18">
      <c r="A2" s="38" t="s">
        <v>151</v>
      </c>
      <c r="B2" s="19">
        <v>123.2</v>
      </c>
      <c r="C2" s="19">
        <v>102.21</v>
      </c>
      <c r="D2" s="19">
        <v>32.380000000000003</v>
      </c>
      <c r="E2" s="19">
        <v>8.11</v>
      </c>
      <c r="F2" s="19">
        <v>11.49</v>
      </c>
      <c r="G2" s="19">
        <v>606.30999999999995</v>
      </c>
      <c r="H2" s="19">
        <v>10.76</v>
      </c>
      <c r="I2" s="19">
        <v>11.94</v>
      </c>
      <c r="J2" s="19">
        <v>12.13</v>
      </c>
      <c r="K2" s="19">
        <v>1.1599999999999999</v>
      </c>
      <c r="L2" s="19">
        <v>23.51</v>
      </c>
      <c r="M2" s="19">
        <v>8.2799999999999994</v>
      </c>
      <c r="N2" s="19">
        <v>34.24</v>
      </c>
      <c r="O2" s="19">
        <v>30.11</v>
      </c>
      <c r="P2" s="19">
        <v>88.35</v>
      </c>
      <c r="Q2" s="23">
        <v>782.3</v>
      </c>
      <c r="R2" s="23">
        <v>126.5</v>
      </c>
    </row>
    <row r="3" spans="1:18">
      <c r="A3" s="39" t="s">
        <v>152</v>
      </c>
      <c r="B3" s="20">
        <v>143.16999999999999</v>
      </c>
      <c r="C3" s="20">
        <v>108.03</v>
      </c>
      <c r="D3" s="20">
        <v>36.57</v>
      </c>
      <c r="E3" s="20">
        <v>8.4700000000000006</v>
      </c>
      <c r="F3" s="20">
        <v>5.62</v>
      </c>
      <c r="G3" s="20">
        <v>278.76</v>
      </c>
      <c r="H3" s="20">
        <v>10.220000000000001</v>
      </c>
      <c r="I3" s="20">
        <v>12.44</v>
      </c>
      <c r="J3" s="20">
        <v>3.59</v>
      </c>
      <c r="K3" s="20">
        <v>0.82</v>
      </c>
      <c r="L3" s="20">
        <v>6.12</v>
      </c>
      <c r="M3" s="20">
        <v>25.97</v>
      </c>
      <c r="N3" s="20">
        <v>37.65</v>
      </c>
      <c r="O3" s="20">
        <v>24.11</v>
      </c>
      <c r="P3" s="20">
        <v>54.51</v>
      </c>
      <c r="Q3" s="24">
        <f>$Q$2</f>
        <v>782.3</v>
      </c>
      <c r="R3" s="24">
        <f>$R$2</f>
        <v>126.5</v>
      </c>
    </row>
    <row r="4" spans="1:18">
      <c r="A4" s="39" t="s">
        <v>124</v>
      </c>
      <c r="B4" s="20">
        <v>105.02</v>
      </c>
      <c r="C4" s="20">
        <v>115.49</v>
      </c>
      <c r="D4" s="20">
        <v>30.47</v>
      </c>
      <c r="E4" s="20">
        <v>5.21</v>
      </c>
      <c r="F4" s="20">
        <v>8</v>
      </c>
      <c r="G4" s="20">
        <v>415.18</v>
      </c>
      <c r="H4" s="20">
        <v>6.44</v>
      </c>
      <c r="I4" s="20">
        <v>11.07</v>
      </c>
      <c r="J4" s="20">
        <v>10</v>
      </c>
      <c r="K4" s="20">
        <v>1.21</v>
      </c>
      <c r="L4" s="20">
        <v>9.24</v>
      </c>
      <c r="M4" s="20">
        <v>9.32</v>
      </c>
      <c r="N4" s="20">
        <v>20.239999999999998</v>
      </c>
      <c r="O4" s="20">
        <v>21.91</v>
      </c>
      <c r="P4" s="20">
        <v>61.18</v>
      </c>
      <c r="Q4" s="20">
        <v>664.2</v>
      </c>
      <c r="R4" s="20">
        <v>152.80000000000001</v>
      </c>
    </row>
    <row r="5" spans="1:18">
      <c r="A5" s="39" t="s">
        <v>125</v>
      </c>
      <c r="B5" s="20">
        <v>101.16</v>
      </c>
      <c r="C5" s="20">
        <v>75.510000000000005</v>
      </c>
      <c r="D5" s="20">
        <v>30.97</v>
      </c>
      <c r="E5" s="20">
        <v>9.6199999999999992</v>
      </c>
      <c r="F5" s="20">
        <v>2.64</v>
      </c>
      <c r="G5" s="20">
        <v>225.86</v>
      </c>
      <c r="H5" s="20">
        <v>-1.33</v>
      </c>
      <c r="I5" s="20">
        <v>9.42</v>
      </c>
      <c r="J5" s="20">
        <v>1.6</v>
      </c>
      <c r="K5" s="20">
        <v>0.49</v>
      </c>
      <c r="L5" s="20">
        <v>5.74</v>
      </c>
      <c r="M5" s="20">
        <v>6.07</v>
      </c>
      <c r="N5" s="20">
        <v>34.630000000000003</v>
      </c>
      <c r="O5" s="20">
        <v>16.079999999999998</v>
      </c>
      <c r="P5" s="20">
        <v>39.75</v>
      </c>
      <c r="Q5" s="20">
        <v>389.6</v>
      </c>
      <c r="R5" s="20">
        <v>123.2</v>
      </c>
    </row>
    <row r="6" spans="1:18">
      <c r="A6" s="39" t="s">
        <v>126</v>
      </c>
      <c r="B6" s="20">
        <v>120.51</v>
      </c>
      <c r="C6" s="20">
        <v>126.15</v>
      </c>
      <c r="D6" s="20">
        <v>34.299999999999997</v>
      </c>
      <c r="E6" s="20">
        <v>4.5599999999999996</v>
      </c>
      <c r="F6" s="20">
        <v>4.7699999999999996</v>
      </c>
      <c r="G6" s="20">
        <v>281.41000000000003</v>
      </c>
      <c r="H6" s="20">
        <v>13.71</v>
      </c>
      <c r="I6" s="20">
        <v>12.57</v>
      </c>
      <c r="J6" s="20">
        <v>9.34</v>
      </c>
      <c r="K6" s="20">
        <v>1.23</v>
      </c>
      <c r="L6" s="20">
        <v>6.71</v>
      </c>
      <c r="M6" s="20">
        <v>9.17</v>
      </c>
      <c r="N6" s="20">
        <v>21.62</v>
      </c>
      <c r="O6" s="20">
        <v>20.92</v>
      </c>
      <c r="P6" s="20">
        <v>53.44</v>
      </c>
      <c r="Q6" s="20">
        <v>335.8</v>
      </c>
      <c r="R6" s="20">
        <v>121.5</v>
      </c>
    </row>
    <row r="7" spans="1:18">
      <c r="A7" s="39" t="s">
        <v>127</v>
      </c>
      <c r="B7" s="20">
        <v>116.96</v>
      </c>
      <c r="C7" s="20">
        <v>141.68</v>
      </c>
      <c r="D7" s="20">
        <v>27.2</v>
      </c>
      <c r="E7" s="20">
        <v>6.04</v>
      </c>
      <c r="F7" s="20">
        <v>7.89</v>
      </c>
      <c r="G7" s="20">
        <v>531.04999999999995</v>
      </c>
      <c r="H7" s="20">
        <v>13.47</v>
      </c>
      <c r="I7" s="20">
        <v>11.05</v>
      </c>
      <c r="J7" s="20">
        <v>4.72</v>
      </c>
      <c r="K7" s="20">
        <v>1.52</v>
      </c>
      <c r="L7" s="20">
        <v>7.86</v>
      </c>
      <c r="M7" s="20">
        <v>5.32</v>
      </c>
      <c r="N7" s="20">
        <v>21.91</v>
      </c>
      <c r="O7" s="20">
        <v>23.89</v>
      </c>
      <c r="P7" s="20">
        <v>129.87</v>
      </c>
      <c r="Q7" s="20">
        <v>429.7</v>
      </c>
      <c r="R7" s="20">
        <v>203.7</v>
      </c>
    </row>
    <row r="8" spans="1:18">
      <c r="A8" s="39" t="s">
        <v>128</v>
      </c>
      <c r="B8" s="20">
        <v>125.15</v>
      </c>
      <c r="C8" s="20">
        <v>123.89</v>
      </c>
      <c r="D8" s="20">
        <v>29.2</v>
      </c>
      <c r="E8" s="20">
        <v>6.53</v>
      </c>
      <c r="F8" s="20">
        <v>8.42</v>
      </c>
      <c r="G8" s="20">
        <v>535.55999999999995</v>
      </c>
      <c r="H8" s="20">
        <v>10.87</v>
      </c>
      <c r="I8" s="20">
        <v>8.34</v>
      </c>
      <c r="J8" s="20">
        <v>8.09</v>
      </c>
      <c r="K8" s="20">
        <v>1.41</v>
      </c>
      <c r="L8" s="20">
        <v>6.34</v>
      </c>
      <c r="M8" s="20">
        <v>8.69</v>
      </c>
      <c r="N8" s="20">
        <v>24.36</v>
      </c>
      <c r="O8" s="20">
        <v>23.93</v>
      </c>
      <c r="P8" s="20">
        <v>88.72</v>
      </c>
      <c r="Q8" s="20">
        <v>284.7</v>
      </c>
      <c r="R8" s="20">
        <v>112</v>
      </c>
    </row>
    <row r="9" spans="1:18">
      <c r="A9" s="39" t="s">
        <v>129</v>
      </c>
      <c r="B9" s="20">
        <v>139.34</v>
      </c>
      <c r="C9" s="20">
        <v>110.8</v>
      </c>
      <c r="D9" s="20">
        <v>41.05</v>
      </c>
      <c r="E9" s="20">
        <v>3.48</v>
      </c>
      <c r="F9" s="20">
        <v>2.04</v>
      </c>
      <c r="G9" s="20">
        <v>147.83000000000001</v>
      </c>
      <c r="H9" s="20">
        <v>9.9700000000000006</v>
      </c>
      <c r="I9" s="20">
        <v>6.97</v>
      </c>
      <c r="J9" s="20">
        <v>9.42</v>
      </c>
      <c r="K9" s="20">
        <v>1.04</v>
      </c>
      <c r="L9" s="20">
        <v>5.38</v>
      </c>
      <c r="M9" s="20">
        <v>8.67</v>
      </c>
      <c r="N9" s="20">
        <v>19.57</v>
      </c>
      <c r="O9" s="20">
        <v>17.14</v>
      </c>
      <c r="P9" s="20">
        <v>36.619999999999997</v>
      </c>
      <c r="Q9" s="20">
        <v>192</v>
      </c>
      <c r="R9" s="20">
        <v>41.9</v>
      </c>
    </row>
    <row r="10" spans="1:18">
      <c r="A10" s="39" t="s">
        <v>130</v>
      </c>
      <c r="B10" s="20">
        <v>118.83</v>
      </c>
      <c r="C10" s="20">
        <v>110.61</v>
      </c>
      <c r="D10" s="20">
        <v>36.71</v>
      </c>
      <c r="E10" s="20">
        <v>5.07</v>
      </c>
      <c r="F10" s="20">
        <v>3.62</v>
      </c>
      <c r="G10" s="20">
        <v>255.72</v>
      </c>
      <c r="H10" s="20">
        <v>17.14</v>
      </c>
      <c r="I10" s="20">
        <v>10.76</v>
      </c>
      <c r="J10" s="20">
        <v>10.39</v>
      </c>
      <c r="K10" s="20">
        <v>0.97</v>
      </c>
      <c r="L10" s="20">
        <v>6.17</v>
      </c>
      <c r="M10" s="20">
        <v>10.49</v>
      </c>
      <c r="N10" s="20">
        <v>19.829999999999998</v>
      </c>
      <c r="O10" s="20">
        <v>18.27</v>
      </c>
      <c r="P10" s="20">
        <v>37.380000000000003</v>
      </c>
      <c r="Q10" s="20">
        <v>345.9</v>
      </c>
      <c r="R10" s="20">
        <v>59.9</v>
      </c>
    </row>
    <row r="11" spans="1:18">
      <c r="A11" s="39" t="s">
        <v>153</v>
      </c>
      <c r="B11" s="20">
        <v>178.97</v>
      </c>
      <c r="C11" s="20">
        <v>122.96</v>
      </c>
      <c r="D11" s="20">
        <v>39.01</v>
      </c>
      <c r="E11" s="20">
        <v>5.29</v>
      </c>
      <c r="F11" s="20">
        <v>5.63</v>
      </c>
      <c r="G11" s="20">
        <v>261.75</v>
      </c>
      <c r="H11" s="20">
        <v>19.41</v>
      </c>
      <c r="I11" s="20">
        <v>14.27</v>
      </c>
      <c r="J11" s="20">
        <v>10.28</v>
      </c>
      <c r="K11" s="20">
        <v>1.27</v>
      </c>
      <c r="L11" s="20">
        <v>5.49</v>
      </c>
      <c r="M11" s="20">
        <v>17.420000000000002</v>
      </c>
      <c r="N11" s="20">
        <v>33.54</v>
      </c>
      <c r="O11" s="20">
        <v>33.159999999999997</v>
      </c>
      <c r="P11" s="20">
        <v>82.02</v>
      </c>
      <c r="Q11" s="20">
        <v>338.9</v>
      </c>
      <c r="R11" s="20">
        <v>237.5</v>
      </c>
    </row>
    <row r="12" spans="1:18">
      <c r="A12" s="39" t="s">
        <v>131</v>
      </c>
      <c r="B12" s="20">
        <v>144.62</v>
      </c>
      <c r="C12" s="20">
        <v>120.86</v>
      </c>
      <c r="D12" s="20">
        <v>33.67</v>
      </c>
      <c r="E12" s="20">
        <v>3.82</v>
      </c>
      <c r="F12" s="20">
        <v>6.42</v>
      </c>
      <c r="G12" s="20">
        <v>601.46</v>
      </c>
      <c r="H12" s="20">
        <v>24.1</v>
      </c>
      <c r="I12" s="20">
        <v>15.36</v>
      </c>
      <c r="J12" s="20">
        <v>21.53</v>
      </c>
      <c r="K12" s="20">
        <v>1.81</v>
      </c>
      <c r="L12" s="20">
        <v>11.45</v>
      </c>
      <c r="M12" s="20">
        <v>8.9600000000000009</v>
      </c>
      <c r="N12" s="20">
        <v>6.93</v>
      </c>
      <c r="O12" s="20">
        <v>11.73</v>
      </c>
      <c r="P12" s="20">
        <v>36.25</v>
      </c>
      <c r="Q12" s="20">
        <v>233.1</v>
      </c>
      <c r="R12" s="20">
        <v>30.7</v>
      </c>
    </row>
    <row r="13" spans="1:18">
      <c r="A13" s="39" t="s">
        <v>132</v>
      </c>
      <c r="B13" s="20">
        <v>79.91</v>
      </c>
      <c r="C13" s="20">
        <v>130.38999999999999</v>
      </c>
      <c r="D13" s="20">
        <v>23.36</v>
      </c>
      <c r="E13" s="20">
        <v>9.2100000000000009</v>
      </c>
      <c r="F13" s="20">
        <v>11.49</v>
      </c>
      <c r="G13" s="20">
        <v>803.9</v>
      </c>
      <c r="H13" s="20">
        <v>20.93</v>
      </c>
      <c r="I13" s="20">
        <v>14.45</v>
      </c>
      <c r="J13" s="20">
        <v>6.88</v>
      </c>
      <c r="K13" s="20">
        <v>1.19</v>
      </c>
      <c r="L13" s="20">
        <v>7.85</v>
      </c>
      <c r="M13" s="20">
        <v>10.4</v>
      </c>
      <c r="N13" s="20">
        <v>19.059999999999999</v>
      </c>
      <c r="O13" s="20">
        <v>22.22</v>
      </c>
      <c r="P13" s="20">
        <v>63.32</v>
      </c>
      <c r="Q13" s="20">
        <v>1112.4000000000001</v>
      </c>
      <c r="R13" s="20">
        <v>190.2</v>
      </c>
    </row>
    <row r="14" spans="1:18">
      <c r="A14" s="39" t="s">
        <v>133</v>
      </c>
      <c r="B14" s="20">
        <v>59.87</v>
      </c>
      <c r="C14" s="20">
        <v>207.11</v>
      </c>
      <c r="D14" s="20">
        <v>19.21</v>
      </c>
      <c r="E14" s="20">
        <v>10.26</v>
      </c>
      <c r="F14" s="20">
        <v>6.85</v>
      </c>
      <c r="G14" s="20">
        <v>673.13</v>
      </c>
      <c r="H14" s="20">
        <v>9.85</v>
      </c>
      <c r="I14" s="20">
        <v>9.89</v>
      </c>
      <c r="J14" s="20">
        <v>10.34</v>
      </c>
      <c r="K14" s="20">
        <v>0.82</v>
      </c>
      <c r="L14" s="20">
        <v>3.36</v>
      </c>
      <c r="M14" s="20">
        <v>6.08</v>
      </c>
      <c r="N14" s="20">
        <v>36.450000000000003</v>
      </c>
      <c r="O14" s="20">
        <v>26.75</v>
      </c>
      <c r="P14" s="20">
        <v>107.54</v>
      </c>
      <c r="Q14" s="20">
        <v>722.8</v>
      </c>
      <c r="R14" s="20">
        <v>156</v>
      </c>
    </row>
    <row r="15" spans="1:18">
      <c r="A15" s="39" t="s">
        <v>134</v>
      </c>
      <c r="B15" s="20">
        <v>108.03</v>
      </c>
      <c r="C15" s="20">
        <v>130.53</v>
      </c>
      <c r="D15" s="20">
        <v>32.200000000000003</v>
      </c>
      <c r="E15" s="20">
        <v>6.34</v>
      </c>
      <c r="F15" s="20">
        <v>7.2</v>
      </c>
      <c r="G15" s="20">
        <v>399.65</v>
      </c>
      <c r="H15" s="20">
        <v>19.39</v>
      </c>
      <c r="I15" s="20">
        <v>11.91</v>
      </c>
      <c r="J15" s="20">
        <v>7.72</v>
      </c>
      <c r="K15" s="20">
        <v>1.22</v>
      </c>
      <c r="L15" s="20">
        <v>6.33</v>
      </c>
      <c r="M15" s="20">
        <v>12.22</v>
      </c>
      <c r="N15" s="20">
        <v>25.74</v>
      </c>
      <c r="O15" s="20">
        <v>25.49</v>
      </c>
      <c r="P15" s="20">
        <v>70.03</v>
      </c>
      <c r="Q15" s="20">
        <v>637.9</v>
      </c>
      <c r="R15" s="20">
        <v>133.9</v>
      </c>
    </row>
    <row r="16" spans="1:18">
      <c r="A16" s="39" t="s">
        <v>135</v>
      </c>
      <c r="B16" s="20">
        <v>92.98</v>
      </c>
      <c r="C16" s="20">
        <v>132.13</v>
      </c>
      <c r="D16" s="20">
        <v>27.54</v>
      </c>
      <c r="E16" s="20">
        <v>13.47</v>
      </c>
      <c r="F16" s="20">
        <v>9.83</v>
      </c>
      <c r="G16" s="20">
        <v>645.30999999999995</v>
      </c>
      <c r="H16" s="20">
        <v>6.56</v>
      </c>
      <c r="I16" s="20">
        <v>6.39</v>
      </c>
      <c r="J16" s="20">
        <v>5.95</v>
      </c>
      <c r="K16" s="20">
        <v>0.81</v>
      </c>
      <c r="L16" s="20">
        <v>5.81</v>
      </c>
      <c r="M16" s="20">
        <v>11.61</v>
      </c>
      <c r="N16" s="20">
        <v>31.92</v>
      </c>
      <c r="O16" s="20">
        <v>23.88</v>
      </c>
      <c r="P16" s="20">
        <v>58.55</v>
      </c>
      <c r="Q16" s="20">
        <v>1045.9000000000001</v>
      </c>
      <c r="R16" s="20">
        <v>266.89999999999998</v>
      </c>
    </row>
    <row r="17" spans="1:18">
      <c r="A17" s="39" t="s">
        <v>136</v>
      </c>
      <c r="B17" s="20">
        <v>84.62</v>
      </c>
      <c r="C17" s="20">
        <v>128.55000000000001</v>
      </c>
      <c r="D17" s="20">
        <v>29.41</v>
      </c>
      <c r="E17" s="20">
        <v>7.48</v>
      </c>
      <c r="F17" s="20">
        <v>7.59</v>
      </c>
      <c r="G17" s="20">
        <v>562.88</v>
      </c>
      <c r="H17" s="20">
        <v>26.93</v>
      </c>
      <c r="I17" s="20">
        <v>14.99</v>
      </c>
      <c r="J17" s="20">
        <v>10.34</v>
      </c>
      <c r="K17" s="20">
        <v>1.04</v>
      </c>
      <c r="L17" s="20">
        <v>8.33</v>
      </c>
      <c r="M17" s="20">
        <v>7.01</v>
      </c>
      <c r="N17" s="20">
        <v>17.47</v>
      </c>
      <c r="O17" s="20">
        <v>16.93</v>
      </c>
      <c r="P17" s="20">
        <v>48.84</v>
      </c>
      <c r="Q17" s="20">
        <v>466.8</v>
      </c>
      <c r="R17" s="20">
        <v>64.5</v>
      </c>
    </row>
    <row r="18" spans="1:18">
      <c r="A18" s="39" t="s">
        <v>137</v>
      </c>
      <c r="B18" s="20">
        <v>159.54</v>
      </c>
      <c r="C18" s="20">
        <v>115.67</v>
      </c>
      <c r="D18" s="20">
        <v>39.270000000000003</v>
      </c>
      <c r="E18" s="20">
        <v>7.4</v>
      </c>
      <c r="F18" s="20">
        <v>5.64</v>
      </c>
      <c r="G18" s="20">
        <v>324.55</v>
      </c>
      <c r="H18" s="20">
        <v>3.1</v>
      </c>
      <c r="I18" s="20">
        <v>8.36</v>
      </c>
      <c r="J18" s="20">
        <v>10.51</v>
      </c>
      <c r="K18" s="20">
        <v>1</v>
      </c>
      <c r="L18" s="20">
        <v>4.9000000000000004</v>
      </c>
      <c r="M18" s="20">
        <v>9.07</v>
      </c>
      <c r="N18" s="20">
        <v>28.39</v>
      </c>
      <c r="O18" s="20">
        <v>25.27</v>
      </c>
      <c r="P18" s="20">
        <v>74.63</v>
      </c>
      <c r="Q18" s="20">
        <v>263.3</v>
      </c>
      <c r="R18" s="20">
        <v>58.3</v>
      </c>
    </row>
    <row r="19" spans="1:18">
      <c r="A19" s="39" t="s">
        <v>138</v>
      </c>
      <c r="B19" s="20">
        <v>68.36</v>
      </c>
      <c r="C19" s="20">
        <v>130.34</v>
      </c>
      <c r="D19" s="20">
        <v>17.600000000000001</v>
      </c>
      <c r="E19" s="20">
        <v>6.97</v>
      </c>
      <c r="F19" s="20">
        <v>8.2799999999999994</v>
      </c>
      <c r="G19" s="20">
        <v>812.69</v>
      </c>
      <c r="H19" s="20">
        <v>18.649999999999999</v>
      </c>
      <c r="I19" s="20">
        <v>14.29</v>
      </c>
      <c r="J19" s="20">
        <v>15.15</v>
      </c>
      <c r="K19" s="20">
        <v>1.1499999999999999</v>
      </c>
      <c r="L19" s="20">
        <v>6.74</v>
      </c>
      <c r="M19" s="20">
        <v>17.190000000000001</v>
      </c>
      <c r="N19" s="20">
        <v>24.41</v>
      </c>
      <c r="O19" s="20">
        <v>21.9</v>
      </c>
      <c r="P19" s="20">
        <v>75.39</v>
      </c>
      <c r="Q19" s="20">
        <v>1684.5</v>
      </c>
      <c r="R19" s="20">
        <v>111.2</v>
      </c>
    </row>
    <row r="20" spans="1:18">
      <c r="A20" s="39" t="s">
        <v>139</v>
      </c>
      <c r="B20" s="20">
        <v>114.45</v>
      </c>
      <c r="C20" s="20">
        <v>140.55000000000001</v>
      </c>
      <c r="D20" s="20">
        <v>26.87</v>
      </c>
      <c r="E20" s="20">
        <v>7.26</v>
      </c>
      <c r="F20" s="20">
        <v>5.83</v>
      </c>
      <c r="G20" s="20">
        <v>450.79</v>
      </c>
      <c r="H20" s="20">
        <v>15.45</v>
      </c>
      <c r="I20" s="20">
        <v>15.68</v>
      </c>
      <c r="J20" s="20">
        <v>17.18</v>
      </c>
      <c r="K20" s="20">
        <v>0.97</v>
      </c>
      <c r="L20" s="20">
        <v>4.42</v>
      </c>
      <c r="M20" s="20">
        <v>7.55</v>
      </c>
      <c r="N20" s="20">
        <v>30.22</v>
      </c>
      <c r="O20" s="20">
        <v>25.16</v>
      </c>
      <c r="P20" s="20">
        <v>99.02</v>
      </c>
      <c r="Q20" s="20">
        <v>480</v>
      </c>
      <c r="R20" s="20">
        <v>112.1</v>
      </c>
    </row>
    <row r="21" spans="1:18">
      <c r="A21" s="39" t="s">
        <v>140</v>
      </c>
      <c r="B21" s="20">
        <v>121.34</v>
      </c>
      <c r="C21" s="20">
        <v>130.56</v>
      </c>
      <c r="D21" s="20">
        <v>30.27</v>
      </c>
      <c r="E21" s="20">
        <v>5.5</v>
      </c>
      <c r="F21" s="20">
        <v>4.6500000000000004</v>
      </c>
      <c r="G21" s="20">
        <v>383.53</v>
      </c>
      <c r="H21" s="20">
        <v>20.059999999999999</v>
      </c>
      <c r="I21" s="20">
        <v>7.98</v>
      </c>
      <c r="J21" s="20">
        <v>4.1500000000000004</v>
      </c>
      <c r="K21" s="20">
        <v>1.42</v>
      </c>
      <c r="L21" s="20">
        <v>6.37</v>
      </c>
      <c r="M21" s="20">
        <v>13.41</v>
      </c>
      <c r="N21" s="20">
        <v>19.649999999999999</v>
      </c>
      <c r="O21" s="20">
        <v>24.31</v>
      </c>
      <c r="P21" s="20">
        <v>79.39</v>
      </c>
      <c r="Q21" s="20">
        <v>306.39999999999998</v>
      </c>
      <c r="R21" s="20">
        <v>90.2</v>
      </c>
    </row>
    <row r="22" spans="1:18">
      <c r="A22" s="39" t="s">
        <v>141</v>
      </c>
      <c r="B22" s="20">
        <v>144.69999999999999</v>
      </c>
      <c r="C22" s="20">
        <v>126.17</v>
      </c>
      <c r="D22" s="20">
        <v>31.54</v>
      </c>
      <c r="E22" s="20">
        <v>6.71</v>
      </c>
      <c r="F22" s="20">
        <v>5.04</v>
      </c>
      <c r="G22" s="20">
        <v>332.34</v>
      </c>
      <c r="H22" s="20">
        <v>17.95</v>
      </c>
      <c r="I22" s="20">
        <v>10.15</v>
      </c>
      <c r="J22" s="20">
        <v>8.9</v>
      </c>
      <c r="K22" s="20">
        <v>1.02</v>
      </c>
      <c r="L22" s="20">
        <v>4.91</v>
      </c>
      <c r="M22" s="20">
        <v>8.77</v>
      </c>
      <c r="N22" s="20">
        <v>26.12</v>
      </c>
      <c r="O22" s="20">
        <v>23.37</v>
      </c>
      <c r="P22" s="20">
        <v>74.2</v>
      </c>
      <c r="Q22" s="20">
        <v>542.4</v>
      </c>
      <c r="R22" s="20">
        <v>211.5</v>
      </c>
    </row>
    <row r="23" spans="1:18">
      <c r="A23" s="39" t="s">
        <v>142</v>
      </c>
      <c r="B23" s="20">
        <v>91.39</v>
      </c>
      <c r="C23" s="20">
        <v>119.49</v>
      </c>
      <c r="D23" s="20">
        <v>16.47</v>
      </c>
      <c r="E23" s="20">
        <v>6.15</v>
      </c>
      <c r="F23" s="20">
        <v>12.27</v>
      </c>
      <c r="G23" s="20">
        <v>707.76</v>
      </c>
      <c r="H23" s="20">
        <v>28.29</v>
      </c>
      <c r="I23" s="20">
        <v>16.37</v>
      </c>
      <c r="J23" s="20">
        <v>6.66</v>
      </c>
      <c r="K23" s="20">
        <v>1.27</v>
      </c>
      <c r="L23" s="20">
        <v>8.8000000000000007</v>
      </c>
      <c r="M23" s="20">
        <v>14.67</v>
      </c>
      <c r="N23" s="20">
        <v>21.74</v>
      </c>
      <c r="O23" s="20">
        <v>24.82</v>
      </c>
      <c r="P23" s="20">
        <v>77.569999999999993</v>
      </c>
      <c r="Q23" s="20">
        <v>1308.2</v>
      </c>
      <c r="R23" s="20">
        <v>247.5</v>
      </c>
    </row>
    <row r="24" spans="1:18">
      <c r="A24" s="39" t="s">
        <v>143</v>
      </c>
      <c r="B24" s="20">
        <v>240.77</v>
      </c>
      <c r="C24" s="20">
        <v>81.08</v>
      </c>
      <c r="D24" s="20">
        <v>25.47</v>
      </c>
      <c r="E24" s="20">
        <v>7.35</v>
      </c>
      <c r="F24" s="20">
        <v>5.19</v>
      </c>
      <c r="G24" s="20">
        <v>409.5</v>
      </c>
      <c r="H24" s="20">
        <v>0.31</v>
      </c>
      <c r="I24" s="20">
        <v>-0.4</v>
      </c>
      <c r="J24" s="20">
        <v>1.71</v>
      </c>
      <c r="K24" s="20">
        <v>0.74</v>
      </c>
      <c r="L24" s="20">
        <v>3.81</v>
      </c>
      <c r="M24" s="20">
        <v>13.86</v>
      </c>
      <c r="N24" s="20">
        <v>21.96</v>
      </c>
      <c r="O24" s="20">
        <v>15.51</v>
      </c>
      <c r="P24" s="20">
        <v>55.14</v>
      </c>
      <c r="Q24" s="20">
        <v>119.2</v>
      </c>
      <c r="R24" s="20">
        <v>14.2</v>
      </c>
    </row>
    <row r="25" spans="1:18">
      <c r="A25" s="39" t="s">
        <v>144</v>
      </c>
      <c r="B25" s="20">
        <v>130.99</v>
      </c>
      <c r="C25" s="20">
        <v>144.37</v>
      </c>
      <c r="D25" s="20">
        <v>33.07</v>
      </c>
      <c r="E25" s="20">
        <v>5.2</v>
      </c>
      <c r="F25" s="20">
        <v>6.17</v>
      </c>
      <c r="G25" s="20">
        <v>371.25</v>
      </c>
      <c r="H25" s="20">
        <v>5.97</v>
      </c>
      <c r="I25" s="20">
        <v>3</v>
      </c>
      <c r="J25" s="20">
        <v>5</v>
      </c>
      <c r="K25" s="20">
        <v>1.26</v>
      </c>
      <c r="L25" s="20">
        <v>6.85</v>
      </c>
      <c r="M25" s="20">
        <v>10.84</v>
      </c>
      <c r="N25" s="20">
        <v>24.91</v>
      </c>
      <c r="O25" s="20">
        <v>24.17</v>
      </c>
      <c r="P25" s="20">
        <v>60.76</v>
      </c>
      <c r="Q25" s="20">
        <v>1085.5</v>
      </c>
      <c r="R25" s="20">
        <v>181.7</v>
      </c>
    </row>
    <row r="26" spans="1:18">
      <c r="A26" s="39" t="s">
        <v>145</v>
      </c>
      <c r="B26" s="20">
        <v>129.06</v>
      </c>
      <c r="C26" s="20">
        <v>147.1</v>
      </c>
      <c r="D26" s="20">
        <v>34.85</v>
      </c>
      <c r="E26" s="20">
        <v>4.91</v>
      </c>
      <c r="F26" s="20">
        <v>5.76</v>
      </c>
      <c r="G26" s="20">
        <v>284.58999999999997</v>
      </c>
      <c r="H26" s="20">
        <v>1.65</v>
      </c>
      <c r="I26" s="20">
        <v>6.34</v>
      </c>
      <c r="J26" s="20">
        <v>9.7799999999999994</v>
      </c>
      <c r="K26" s="20">
        <v>1.27</v>
      </c>
      <c r="L26" s="20">
        <v>6.51</v>
      </c>
      <c r="M26" s="20">
        <v>8.2899999999999991</v>
      </c>
      <c r="N26" s="20">
        <v>28.75</v>
      </c>
      <c r="O26" s="20">
        <v>30.98</v>
      </c>
      <c r="P26" s="20">
        <v>127.22</v>
      </c>
      <c r="Q26" s="20">
        <v>266.2</v>
      </c>
      <c r="R26" s="20">
        <v>177.4</v>
      </c>
    </row>
    <row r="27" spans="1:18">
      <c r="A27" s="39" t="s">
        <v>146</v>
      </c>
      <c r="B27" s="20">
        <v>121.91</v>
      </c>
      <c r="C27" s="20">
        <v>112.6</v>
      </c>
      <c r="D27" s="20">
        <v>38.700000000000003</v>
      </c>
      <c r="E27" s="20">
        <v>3.99</v>
      </c>
      <c r="F27" s="20">
        <v>2.4500000000000002</v>
      </c>
      <c r="G27" s="20">
        <v>141.75</v>
      </c>
      <c r="H27" s="20">
        <v>17.43</v>
      </c>
      <c r="I27" s="20">
        <v>5.96</v>
      </c>
      <c r="J27" s="20">
        <v>5.37</v>
      </c>
      <c r="K27" s="20">
        <v>0.63</v>
      </c>
      <c r="L27" s="20">
        <v>8.0299999999999994</v>
      </c>
      <c r="M27" s="20">
        <v>20.05</v>
      </c>
      <c r="N27" s="20">
        <v>23.16</v>
      </c>
      <c r="O27" s="20">
        <v>8.5500000000000007</v>
      </c>
      <c r="P27" s="20">
        <v>17.43</v>
      </c>
      <c r="Q27" s="24">
        <f>$Q$2</f>
        <v>782.3</v>
      </c>
      <c r="R27" s="24">
        <f>$R$2</f>
        <v>126.5</v>
      </c>
    </row>
    <row r="28" spans="1:18">
      <c r="A28" s="39" t="s">
        <v>154</v>
      </c>
      <c r="B28" s="20">
        <v>127.69</v>
      </c>
      <c r="C28" s="20">
        <v>115.96</v>
      </c>
      <c r="D28" s="20">
        <v>40.22</v>
      </c>
      <c r="E28" s="20">
        <v>8.24</v>
      </c>
      <c r="F28" s="20">
        <v>8.75</v>
      </c>
      <c r="G28" s="20">
        <v>359.65</v>
      </c>
      <c r="H28" s="20">
        <v>20.64</v>
      </c>
      <c r="I28" s="20">
        <v>9</v>
      </c>
      <c r="J28" s="20">
        <v>-4.92</v>
      </c>
      <c r="K28" s="20">
        <v>1.1200000000000001</v>
      </c>
      <c r="L28" s="20">
        <v>12.66</v>
      </c>
      <c r="M28" s="20">
        <v>26.41</v>
      </c>
      <c r="N28" s="20">
        <v>33.82</v>
      </c>
      <c r="O28" s="20">
        <v>31.25</v>
      </c>
      <c r="P28" s="20">
        <v>69.05</v>
      </c>
      <c r="Q28" s="24">
        <f>$Q$2</f>
        <v>782.3</v>
      </c>
      <c r="R28" s="24">
        <f>$R$2</f>
        <v>126.5</v>
      </c>
    </row>
    <row r="29" spans="1:18">
      <c r="A29" s="39" t="s">
        <v>155</v>
      </c>
      <c r="B29" s="20">
        <v>191.14</v>
      </c>
      <c r="C29" s="20">
        <v>150.19999999999999</v>
      </c>
      <c r="D29" s="20">
        <v>32.51</v>
      </c>
      <c r="E29" s="20">
        <v>3.2</v>
      </c>
      <c r="F29" s="20">
        <v>0</v>
      </c>
      <c r="G29" s="20">
        <v>108.34</v>
      </c>
      <c r="H29" s="20">
        <v>-3.79</v>
      </c>
      <c r="I29" s="20">
        <v>1.61</v>
      </c>
      <c r="J29" s="20">
        <v>15.75</v>
      </c>
      <c r="K29" s="20">
        <v>0.81</v>
      </c>
      <c r="L29" s="20">
        <v>3.87</v>
      </c>
      <c r="M29" s="20">
        <v>4.38</v>
      </c>
      <c r="N29" s="20">
        <v>25.57</v>
      </c>
      <c r="O29" s="20">
        <v>13.22</v>
      </c>
      <c r="P29" s="20">
        <v>157.77000000000001</v>
      </c>
      <c r="Q29" s="20">
        <v>150.80000000000001</v>
      </c>
      <c r="R29" s="20">
        <v>234</v>
      </c>
    </row>
    <row r="30" spans="1:18">
      <c r="A30" s="39" t="s">
        <v>156</v>
      </c>
      <c r="B30" s="20">
        <v>59.49</v>
      </c>
      <c r="C30" s="20">
        <v>243.74</v>
      </c>
      <c r="D30" s="20">
        <v>17.91</v>
      </c>
      <c r="E30" s="20">
        <v>4.4400000000000004</v>
      </c>
      <c r="F30" s="20">
        <v>8.1</v>
      </c>
      <c r="G30" s="20">
        <v>623.67999999999995</v>
      </c>
      <c r="H30" s="20">
        <v>4.8499999999999996</v>
      </c>
      <c r="I30" s="20">
        <v>9.85</v>
      </c>
      <c r="J30" s="20">
        <v>13.12</v>
      </c>
      <c r="K30" s="20">
        <v>1.78</v>
      </c>
      <c r="L30" s="20">
        <v>7.01</v>
      </c>
      <c r="M30" s="20">
        <v>28.51</v>
      </c>
      <c r="N30" s="20">
        <v>37.520000000000003</v>
      </c>
      <c r="O30" s="20">
        <v>57.31</v>
      </c>
      <c r="P30" s="20">
        <v>389.78</v>
      </c>
      <c r="Q30" s="20">
        <v>150.80000000000001</v>
      </c>
      <c r="R30" s="20">
        <v>234</v>
      </c>
    </row>
    <row r="31" spans="1:18">
      <c r="A31" s="39" t="s">
        <v>157</v>
      </c>
      <c r="B31" s="20">
        <v>352.56</v>
      </c>
      <c r="C31" s="20">
        <v>87.95</v>
      </c>
      <c r="D31" s="20">
        <v>35.619999999999997</v>
      </c>
      <c r="E31" s="20">
        <v>2.12</v>
      </c>
      <c r="F31" s="20">
        <v>-5.72</v>
      </c>
      <c r="G31" s="20">
        <v>164.46</v>
      </c>
      <c r="H31" s="20">
        <v>23.67</v>
      </c>
      <c r="I31" s="20">
        <v>6</v>
      </c>
      <c r="J31" s="20">
        <v>9.83</v>
      </c>
      <c r="K31" s="20">
        <v>1.8</v>
      </c>
      <c r="L31" s="20">
        <v>12.59</v>
      </c>
      <c r="M31" s="20">
        <v>9.51</v>
      </c>
      <c r="N31" s="20">
        <v>35.43</v>
      </c>
      <c r="O31" s="20">
        <v>18.3</v>
      </c>
      <c r="P31" s="20">
        <v>56.88</v>
      </c>
      <c r="Q31" s="20">
        <v>413.8</v>
      </c>
      <c r="R31" s="20">
        <v>144</v>
      </c>
    </row>
    <row r="32" spans="1:18">
      <c r="A32" s="39" t="s">
        <v>158</v>
      </c>
      <c r="B32" s="20">
        <v>136.32</v>
      </c>
      <c r="C32" s="20">
        <v>144.65</v>
      </c>
      <c r="D32" s="20">
        <v>26.45</v>
      </c>
      <c r="E32" s="20">
        <v>3.58</v>
      </c>
      <c r="F32" s="20">
        <v>6.52</v>
      </c>
      <c r="G32" s="20">
        <v>427.31</v>
      </c>
      <c r="H32" s="20">
        <v>17.22</v>
      </c>
      <c r="I32" s="20">
        <v>10.91</v>
      </c>
      <c r="J32" s="20">
        <v>3.79</v>
      </c>
      <c r="K32" s="20">
        <v>2.14</v>
      </c>
      <c r="L32" s="20">
        <v>6.99</v>
      </c>
      <c r="M32" s="20">
        <v>14.73</v>
      </c>
      <c r="N32" s="20">
        <v>44.7</v>
      </c>
      <c r="O32" s="20">
        <v>21.71</v>
      </c>
      <c r="P32" s="20">
        <v>130.44999999999999</v>
      </c>
      <c r="Q32" s="20">
        <v>413.8</v>
      </c>
      <c r="R32" s="20">
        <v>144</v>
      </c>
    </row>
    <row r="33" spans="1:18">
      <c r="A33" s="39" t="s">
        <v>159</v>
      </c>
      <c r="B33" s="20">
        <v>92.45</v>
      </c>
      <c r="C33" s="20">
        <v>80.319999999999993</v>
      </c>
      <c r="D33" s="20">
        <v>23.31</v>
      </c>
      <c r="E33" s="20">
        <v>5.29</v>
      </c>
      <c r="F33" s="20">
        <v>7.38</v>
      </c>
      <c r="G33" s="20">
        <v>469.4</v>
      </c>
      <c r="H33" s="20">
        <v>15.12</v>
      </c>
      <c r="I33" s="20">
        <v>15.82</v>
      </c>
      <c r="J33" s="20">
        <v>3.56</v>
      </c>
      <c r="K33" s="20">
        <v>1.1100000000000001</v>
      </c>
      <c r="L33" s="20">
        <v>26.18</v>
      </c>
      <c r="M33" s="20">
        <v>17.43</v>
      </c>
      <c r="N33" s="20">
        <v>42.92</v>
      </c>
      <c r="O33" s="20">
        <v>15.71</v>
      </c>
      <c r="P33" s="20">
        <v>36.36</v>
      </c>
      <c r="Q33" s="20">
        <v>413.8</v>
      </c>
      <c r="R33" s="20">
        <v>144</v>
      </c>
    </row>
    <row r="34" spans="1:18">
      <c r="A34" s="39" t="s">
        <v>160</v>
      </c>
      <c r="B34" s="20">
        <v>151.5</v>
      </c>
      <c r="C34" s="20">
        <v>76.61</v>
      </c>
      <c r="D34" s="20">
        <v>32.06</v>
      </c>
      <c r="E34" s="20">
        <v>-0.1</v>
      </c>
      <c r="F34" s="20">
        <v>3.99</v>
      </c>
      <c r="G34" s="20">
        <v>-8.4499999999999993</v>
      </c>
      <c r="H34" s="20">
        <v>17.47</v>
      </c>
      <c r="I34" s="20">
        <v>13.05</v>
      </c>
      <c r="J34" s="20">
        <v>10.18</v>
      </c>
      <c r="K34" s="20">
        <v>1.47</v>
      </c>
      <c r="L34" s="20">
        <v>10.130000000000001</v>
      </c>
      <c r="M34" s="20">
        <v>223.5</v>
      </c>
      <c r="N34" s="20">
        <v>31.04</v>
      </c>
      <c r="O34" s="20">
        <v>42.09</v>
      </c>
      <c r="P34" s="20">
        <v>85.14</v>
      </c>
      <c r="Q34" s="20">
        <v>298.7</v>
      </c>
      <c r="R34" s="20">
        <v>116.3</v>
      </c>
    </row>
    <row r="35" spans="1:18">
      <c r="A35" s="39" t="s">
        <v>161</v>
      </c>
      <c r="B35" s="20">
        <v>207.67</v>
      </c>
      <c r="C35" s="20">
        <v>132.36000000000001</v>
      </c>
      <c r="D35" s="20">
        <v>50.67</v>
      </c>
      <c r="E35" s="20">
        <v>5.74</v>
      </c>
      <c r="F35" s="20">
        <v>3.09</v>
      </c>
      <c r="G35" s="20">
        <v>184.4</v>
      </c>
      <c r="H35" s="20">
        <v>20.05</v>
      </c>
      <c r="I35" s="20">
        <v>6.51</v>
      </c>
      <c r="J35" s="20">
        <v>6.63</v>
      </c>
      <c r="K35" s="20">
        <v>0.87</v>
      </c>
      <c r="L35" s="20">
        <v>15.19</v>
      </c>
      <c r="M35" s="20">
        <v>43.58</v>
      </c>
      <c r="N35" s="20">
        <v>16.79</v>
      </c>
      <c r="O35" s="20">
        <v>13.15</v>
      </c>
      <c r="P35" s="20">
        <v>23.21</v>
      </c>
      <c r="Q35" s="20">
        <v>298.7</v>
      </c>
      <c r="R35" s="20">
        <v>116.3</v>
      </c>
    </row>
    <row r="36" spans="1:18">
      <c r="A36" s="39" t="s">
        <v>162</v>
      </c>
      <c r="B36" s="20">
        <v>365.57</v>
      </c>
      <c r="C36" s="20">
        <v>37.83</v>
      </c>
      <c r="D36" s="20">
        <v>56.96</v>
      </c>
      <c r="E36" s="20">
        <v>10.14</v>
      </c>
      <c r="F36" s="20">
        <v>3.8</v>
      </c>
      <c r="G36" s="20">
        <v>216.11</v>
      </c>
      <c r="H36" s="20">
        <v>24.64</v>
      </c>
      <c r="I36" s="20">
        <v>8.94</v>
      </c>
      <c r="J36" s="20">
        <v>13.17</v>
      </c>
      <c r="K36" s="20">
        <v>0.67</v>
      </c>
      <c r="L36" s="20">
        <v>12.08</v>
      </c>
      <c r="M36" s="20">
        <v>39.909999999999997</v>
      </c>
      <c r="N36" s="20">
        <v>31.28</v>
      </c>
      <c r="O36" s="20">
        <v>21.15</v>
      </c>
      <c r="P36" s="20">
        <v>33.340000000000003</v>
      </c>
      <c r="Q36" s="20">
        <v>298.7</v>
      </c>
      <c r="R36" s="20">
        <v>116.3</v>
      </c>
    </row>
    <row r="37" spans="1:18">
      <c r="A37" s="39" t="s">
        <v>163</v>
      </c>
      <c r="B37" s="20">
        <v>102.14</v>
      </c>
      <c r="C37" s="20">
        <v>92.75</v>
      </c>
      <c r="D37" s="20">
        <v>39.99</v>
      </c>
      <c r="E37" s="20">
        <v>10.26</v>
      </c>
      <c r="F37" s="20">
        <v>4.08</v>
      </c>
      <c r="G37" s="20">
        <v>248.6</v>
      </c>
      <c r="H37" s="20">
        <v>31.11</v>
      </c>
      <c r="I37" s="20">
        <v>5.38</v>
      </c>
      <c r="J37" s="20">
        <v>4.42</v>
      </c>
      <c r="K37" s="20">
        <v>0.53</v>
      </c>
      <c r="L37" s="20">
        <v>13.94</v>
      </c>
      <c r="M37" s="20">
        <v>127.6</v>
      </c>
      <c r="N37" s="20">
        <v>28.67</v>
      </c>
      <c r="O37" s="20">
        <v>11.91</v>
      </c>
      <c r="P37" s="20">
        <v>50.87</v>
      </c>
      <c r="Q37" s="20">
        <v>298.7</v>
      </c>
      <c r="R37" s="20">
        <v>116.3</v>
      </c>
    </row>
    <row r="38" spans="1:18">
      <c r="A38" s="39" t="s">
        <v>147</v>
      </c>
      <c r="B38" s="20">
        <v>69.97</v>
      </c>
      <c r="C38" s="20">
        <v>48.5</v>
      </c>
      <c r="D38" s="20">
        <v>21.43</v>
      </c>
      <c r="E38" s="20">
        <v>8.49</v>
      </c>
      <c r="F38" s="20">
        <v>2.12</v>
      </c>
      <c r="G38" s="20">
        <v>227.83</v>
      </c>
      <c r="H38" s="20">
        <v>13.34</v>
      </c>
      <c r="I38" s="20">
        <v>7.17</v>
      </c>
      <c r="J38" s="20">
        <v>0.85</v>
      </c>
      <c r="K38" s="20">
        <v>0.27</v>
      </c>
      <c r="L38" s="20">
        <v>43.34</v>
      </c>
      <c r="M38" s="20">
        <v>10.119999999999999</v>
      </c>
      <c r="N38" s="20">
        <v>40.950000000000003</v>
      </c>
      <c r="O38" s="20">
        <v>9.48</v>
      </c>
      <c r="P38" s="20">
        <v>14.58</v>
      </c>
      <c r="Q38" s="24">
        <f>$Q$2</f>
        <v>782.3</v>
      </c>
      <c r="R38" s="24">
        <f>$R$2</f>
        <v>126.5</v>
      </c>
    </row>
    <row r="39" spans="1:18">
      <c r="A39" s="39" t="s">
        <v>164</v>
      </c>
      <c r="B39" s="20">
        <v>87.06</v>
      </c>
      <c r="C39" s="20">
        <v>143.4</v>
      </c>
      <c r="D39" s="20">
        <v>20.75</v>
      </c>
      <c r="E39" s="20">
        <v>6.66</v>
      </c>
      <c r="F39" s="20">
        <v>6.37</v>
      </c>
      <c r="G39" s="20">
        <v>564.49</v>
      </c>
      <c r="H39" s="20">
        <v>10.51</v>
      </c>
      <c r="I39" s="20">
        <v>11.95</v>
      </c>
      <c r="J39" s="20">
        <v>9.5299999999999994</v>
      </c>
      <c r="K39" s="20">
        <v>1.06</v>
      </c>
      <c r="L39" s="20">
        <v>6.12</v>
      </c>
      <c r="M39" s="20">
        <v>28.68</v>
      </c>
      <c r="N39" s="20">
        <v>47.74</v>
      </c>
      <c r="O39" s="20">
        <v>39.75</v>
      </c>
      <c r="P39" s="20">
        <v>203.37</v>
      </c>
      <c r="Q39" s="22">
        <f>$Q$42</f>
        <v>943.5</v>
      </c>
      <c r="R39" s="22">
        <f>$R$42</f>
        <v>148.9</v>
      </c>
    </row>
    <row r="40" spans="1:18">
      <c r="A40" s="39" t="s">
        <v>165</v>
      </c>
      <c r="B40" s="20">
        <v>219.33</v>
      </c>
      <c r="C40" s="20">
        <v>61.77</v>
      </c>
      <c r="D40" s="20">
        <v>45.71</v>
      </c>
      <c r="E40" s="20">
        <v>2.93</v>
      </c>
      <c r="F40" s="20">
        <v>-2.86</v>
      </c>
      <c r="G40" s="20">
        <v>65.540000000000006</v>
      </c>
      <c r="H40" s="20">
        <v>6.51</v>
      </c>
      <c r="I40" s="20">
        <v>6.42</v>
      </c>
      <c r="J40" s="20">
        <v>17.96</v>
      </c>
      <c r="K40" s="20">
        <v>0.61</v>
      </c>
      <c r="L40" s="20">
        <v>8.32</v>
      </c>
      <c r="M40" s="20">
        <v>13.12</v>
      </c>
      <c r="N40" s="20">
        <v>31.51</v>
      </c>
      <c r="O40" s="20">
        <v>15.52</v>
      </c>
      <c r="P40" s="20">
        <v>33.06</v>
      </c>
      <c r="Q40" s="22">
        <f>$Q$42</f>
        <v>943.5</v>
      </c>
      <c r="R40" s="22">
        <f>$R$42</f>
        <v>148.9</v>
      </c>
    </row>
    <row r="41" spans="1:18">
      <c r="A41" s="39" t="s">
        <v>166</v>
      </c>
      <c r="B41" s="20">
        <v>54.67</v>
      </c>
      <c r="C41" s="20">
        <v>182.99</v>
      </c>
      <c r="D41" s="20">
        <v>21.67</v>
      </c>
      <c r="E41" s="20">
        <v>9.0299999999999994</v>
      </c>
      <c r="F41" s="20">
        <v>5.92</v>
      </c>
      <c r="G41" s="20">
        <v>397.17</v>
      </c>
      <c r="H41" s="20">
        <v>11.05</v>
      </c>
      <c r="I41" s="20">
        <v>4.2</v>
      </c>
      <c r="J41" s="20">
        <v>8.6999999999999993</v>
      </c>
      <c r="K41" s="20">
        <v>0.62</v>
      </c>
      <c r="L41" s="20">
        <v>5.98</v>
      </c>
      <c r="M41" s="20">
        <v>107.7</v>
      </c>
      <c r="N41" s="20">
        <v>38.15</v>
      </c>
      <c r="O41" s="20">
        <v>23.64</v>
      </c>
      <c r="P41" s="20">
        <v>78.39</v>
      </c>
      <c r="Q41" s="22">
        <f>$Q$42</f>
        <v>943.5</v>
      </c>
      <c r="R41" s="22">
        <f>$R$42</f>
        <v>148.9</v>
      </c>
    </row>
    <row r="42" spans="1:18">
      <c r="A42" s="39" t="s">
        <v>167</v>
      </c>
      <c r="B42" s="20">
        <v>100.74</v>
      </c>
      <c r="C42" s="20">
        <v>101.49</v>
      </c>
      <c r="D42" s="20">
        <v>28.66</v>
      </c>
      <c r="E42" s="20">
        <v>9.48</v>
      </c>
      <c r="F42" s="20">
        <v>6.8</v>
      </c>
      <c r="G42" s="20">
        <v>408.51</v>
      </c>
      <c r="H42" s="20">
        <v>2.66</v>
      </c>
      <c r="I42" s="20">
        <v>0.18</v>
      </c>
      <c r="J42" s="20">
        <v>-1.45</v>
      </c>
      <c r="K42" s="20">
        <v>0.81</v>
      </c>
      <c r="L42" s="20">
        <v>6.37</v>
      </c>
      <c r="M42" s="20">
        <v>48.36</v>
      </c>
      <c r="N42" s="20">
        <v>38.9</v>
      </c>
      <c r="O42" s="20">
        <v>25.01</v>
      </c>
      <c r="P42" s="20">
        <v>56.4</v>
      </c>
      <c r="Q42" s="20">
        <v>943.5</v>
      </c>
      <c r="R42" s="20">
        <v>148.9</v>
      </c>
    </row>
    <row r="43" spans="1:18">
      <c r="A43" s="39" t="s">
        <v>168</v>
      </c>
      <c r="B43" s="20">
        <v>130.09</v>
      </c>
      <c r="C43" s="20">
        <v>107.37</v>
      </c>
      <c r="D43" s="20">
        <v>29.72</v>
      </c>
      <c r="E43" s="20">
        <v>6.36</v>
      </c>
      <c r="F43" s="20">
        <v>9.26</v>
      </c>
      <c r="G43" s="20">
        <v>438.2</v>
      </c>
      <c r="H43" s="20">
        <v>13.12</v>
      </c>
      <c r="I43" s="20">
        <v>15.08</v>
      </c>
      <c r="J43" s="20">
        <v>9.5</v>
      </c>
      <c r="K43" s="20">
        <v>1.03</v>
      </c>
      <c r="L43" s="20">
        <v>5.69</v>
      </c>
      <c r="M43" s="20">
        <v>31.71</v>
      </c>
      <c r="N43" s="20">
        <v>39.21</v>
      </c>
      <c r="O43" s="20">
        <v>25.81</v>
      </c>
      <c r="P43" s="20">
        <v>226.77</v>
      </c>
      <c r="Q43" s="22">
        <f>$Q$42</f>
        <v>943.5</v>
      </c>
      <c r="R43" s="22">
        <f>$R$42</f>
        <v>148.9</v>
      </c>
    </row>
    <row r="44" spans="1:18">
      <c r="A44" s="39" t="s">
        <v>169</v>
      </c>
      <c r="B44" s="20">
        <v>59.35</v>
      </c>
      <c r="C44" s="20">
        <v>193.44</v>
      </c>
      <c r="D44" s="20">
        <v>13.62</v>
      </c>
      <c r="E44" s="20">
        <v>14.05</v>
      </c>
      <c r="F44" s="20">
        <v>15.88</v>
      </c>
      <c r="G44" s="20">
        <v>1708.04</v>
      </c>
      <c r="H44" s="20">
        <v>19.55</v>
      </c>
      <c r="I44" s="20">
        <v>24.21</v>
      </c>
      <c r="J44" s="20">
        <v>6.86</v>
      </c>
      <c r="K44" s="20">
        <v>1.04</v>
      </c>
      <c r="L44" s="20">
        <v>6.69</v>
      </c>
      <c r="M44" s="20">
        <v>75.66</v>
      </c>
      <c r="N44" s="20">
        <v>53.85</v>
      </c>
      <c r="O44" s="20">
        <v>48.61</v>
      </c>
      <c r="P44" s="20">
        <v>506.15</v>
      </c>
      <c r="Q44" s="22">
        <f>$Q$42</f>
        <v>943.5</v>
      </c>
      <c r="R44" s="22">
        <f>$R$42</f>
        <v>148.9</v>
      </c>
    </row>
    <row r="45" spans="1:18">
      <c r="A45" s="39" t="s">
        <v>148</v>
      </c>
      <c r="B45" s="20">
        <v>173.6</v>
      </c>
      <c r="C45" s="20">
        <v>79.260000000000005</v>
      </c>
      <c r="D45" s="20">
        <v>35.700000000000003</v>
      </c>
      <c r="E45" s="20">
        <v>12.56</v>
      </c>
      <c r="F45" s="20">
        <v>1.76</v>
      </c>
      <c r="G45" s="20">
        <v>170.05</v>
      </c>
      <c r="H45" s="20">
        <v>10.17</v>
      </c>
      <c r="I45" s="20">
        <v>11.09</v>
      </c>
      <c r="J45" s="20">
        <v>16.29</v>
      </c>
      <c r="K45" s="20">
        <v>0.28999999999999998</v>
      </c>
      <c r="L45" s="20">
        <v>6.91</v>
      </c>
      <c r="M45" s="20">
        <v>4.91</v>
      </c>
      <c r="N45" s="20">
        <v>58.51</v>
      </c>
      <c r="O45" s="20">
        <v>13.54</v>
      </c>
      <c r="P45" s="20">
        <v>23.31</v>
      </c>
      <c r="Q45" s="24">
        <f t="shared" ref="Q45:Q50" si="0">$Q$2</f>
        <v>782.3</v>
      </c>
      <c r="R45" s="24">
        <f t="shared" ref="R45:R50" si="1">$R$2</f>
        <v>126.5</v>
      </c>
    </row>
    <row r="46" spans="1:18">
      <c r="A46" s="39" t="s">
        <v>170</v>
      </c>
      <c r="B46" s="20">
        <v>154.32</v>
      </c>
      <c r="C46" s="20">
        <v>126.75</v>
      </c>
      <c r="D46" s="20">
        <v>17.420000000000002</v>
      </c>
      <c r="E46" s="20">
        <v>5.22</v>
      </c>
      <c r="F46" s="20">
        <v>5.83</v>
      </c>
      <c r="G46" s="20">
        <v>418.75</v>
      </c>
      <c r="H46" s="20">
        <v>14.12</v>
      </c>
      <c r="I46" s="20">
        <v>6.25</v>
      </c>
      <c r="J46" s="20">
        <v>-3.16</v>
      </c>
      <c r="K46" s="20">
        <v>0.99</v>
      </c>
      <c r="L46" s="20">
        <v>4.1500000000000004</v>
      </c>
      <c r="M46" s="20">
        <v>63.87</v>
      </c>
      <c r="N46" s="20">
        <v>51.04</v>
      </c>
      <c r="O46" s="20">
        <v>41.04</v>
      </c>
      <c r="P46" s="20">
        <v>387.61</v>
      </c>
      <c r="Q46" s="24">
        <f t="shared" si="0"/>
        <v>782.3</v>
      </c>
      <c r="R46" s="24">
        <f t="shared" si="1"/>
        <v>126.5</v>
      </c>
    </row>
    <row r="47" spans="1:18">
      <c r="A47" s="39" t="s">
        <v>171</v>
      </c>
      <c r="B47" s="20">
        <v>103.28</v>
      </c>
      <c r="C47" s="20">
        <v>165.57</v>
      </c>
      <c r="D47" s="20">
        <v>17.25</v>
      </c>
      <c r="E47" s="20">
        <v>7.45</v>
      </c>
      <c r="F47" s="20">
        <v>11.74</v>
      </c>
      <c r="G47" s="20">
        <v>1169.48</v>
      </c>
      <c r="H47" s="20">
        <v>6.59</v>
      </c>
      <c r="I47" s="20">
        <v>17.23</v>
      </c>
      <c r="J47" s="20">
        <v>31.53</v>
      </c>
      <c r="K47" s="20">
        <v>1.63</v>
      </c>
      <c r="L47" s="20">
        <v>6.82</v>
      </c>
      <c r="M47" s="20">
        <v>103.8</v>
      </c>
      <c r="N47" s="20">
        <v>51.09</v>
      </c>
      <c r="O47" s="20">
        <v>68.48</v>
      </c>
      <c r="P47" s="20">
        <v>382.97</v>
      </c>
      <c r="Q47" s="24">
        <f t="shared" si="0"/>
        <v>782.3</v>
      </c>
      <c r="R47" s="24">
        <f t="shared" si="1"/>
        <v>126.5</v>
      </c>
    </row>
    <row r="48" spans="1:18">
      <c r="A48" s="39" t="s">
        <v>172</v>
      </c>
      <c r="B48" s="20">
        <v>87.23</v>
      </c>
      <c r="C48" s="20">
        <v>164.69</v>
      </c>
      <c r="D48" s="20">
        <v>24.57</v>
      </c>
      <c r="E48" s="20">
        <v>3.68</v>
      </c>
      <c r="F48" s="20">
        <v>-1.47</v>
      </c>
      <c r="G48" s="20">
        <v>166.81</v>
      </c>
      <c r="H48" s="20">
        <v>2.97</v>
      </c>
      <c r="I48" s="20">
        <v>-3.04</v>
      </c>
      <c r="J48" s="20">
        <v>3.02</v>
      </c>
      <c r="K48" s="20">
        <v>0.94</v>
      </c>
      <c r="L48" s="20">
        <v>8.7799999999999994</v>
      </c>
      <c r="M48" s="20">
        <v>28.02</v>
      </c>
      <c r="N48" s="20">
        <v>52.42</v>
      </c>
      <c r="O48" s="20">
        <v>31.69</v>
      </c>
      <c r="P48" s="20">
        <v>220.19</v>
      </c>
      <c r="Q48" s="24">
        <f t="shared" si="0"/>
        <v>782.3</v>
      </c>
      <c r="R48" s="24">
        <f t="shared" si="1"/>
        <v>126.5</v>
      </c>
    </row>
    <row r="49" spans="1:18">
      <c r="A49" s="39" t="s">
        <v>149</v>
      </c>
      <c r="B49" s="20">
        <v>93.16</v>
      </c>
      <c r="C49" s="20">
        <v>161.75</v>
      </c>
      <c r="D49" s="20">
        <v>22.01</v>
      </c>
      <c r="E49" s="20">
        <v>5.09</v>
      </c>
      <c r="F49" s="20">
        <v>10.130000000000001</v>
      </c>
      <c r="G49" s="20">
        <v>746.79</v>
      </c>
      <c r="H49" s="20">
        <v>8.91</v>
      </c>
      <c r="I49" s="20">
        <v>11.12</v>
      </c>
      <c r="J49" s="20">
        <v>5.29</v>
      </c>
      <c r="K49" s="20">
        <v>1.86</v>
      </c>
      <c r="L49" s="20">
        <v>11.19</v>
      </c>
      <c r="M49" s="20">
        <v>162.65</v>
      </c>
      <c r="N49" s="20">
        <v>70.540000000000006</v>
      </c>
      <c r="O49" s="20">
        <v>114.5</v>
      </c>
      <c r="P49" s="20">
        <v>702.86</v>
      </c>
      <c r="Q49" s="24">
        <f t="shared" si="0"/>
        <v>782.3</v>
      </c>
      <c r="R49" s="24">
        <f t="shared" si="1"/>
        <v>126.5</v>
      </c>
    </row>
    <row r="50" spans="1:18">
      <c r="A50" s="40" t="s">
        <v>150</v>
      </c>
      <c r="B50" s="21">
        <v>217.57</v>
      </c>
      <c r="C50" s="21">
        <v>62.85</v>
      </c>
      <c r="D50" s="21">
        <v>19.63</v>
      </c>
      <c r="E50" s="21">
        <v>14.37</v>
      </c>
      <c r="F50" s="21">
        <v>2.99</v>
      </c>
      <c r="G50" s="21">
        <v>356.74</v>
      </c>
      <c r="H50" s="21">
        <v>10.050000000000001</v>
      </c>
      <c r="I50" s="21">
        <v>9.68</v>
      </c>
      <c r="J50" s="21">
        <v>1.61</v>
      </c>
      <c r="K50" s="21">
        <v>0.27</v>
      </c>
      <c r="L50" s="21">
        <v>19.170000000000002</v>
      </c>
      <c r="M50" s="21">
        <v>19.47</v>
      </c>
      <c r="N50" s="21">
        <v>50.49</v>
      </c>
      <c r="O50" s="21">
        <v>12.09</v>
      </c>
      <c r="P50" s="21">
        <v>18.5</v>
      </c>
      <c r="Q50" s="24">
        <f t="shared" si="0"/>
        <v>782.3</v>
      </c>
      <c r="R50" s="24">
        <f t="shared" si="1"/>
        <v>126.5</v>
      </c>
    </row>
    <row r="52" spans="1:18">
      <c r="A52" s="8" t="s">
        <v>226</v>
      </c>
    </row>
    <row r="53" spans="1:18">
      <c r="A53" s="9" t="s">
        <v>227</v>
      </c>
    </row>
  </sheetData>
  <sheetProtection password="83D9" sheet="1" objects="1" scenarios="1" autoFilter="0"/>
  <autoFilter ref="A1:R50"/>
  <phoneticPr fontId="4" type="noConversion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 scaleWithDoc="0">
    <oddHeader>&amp;L산업평균비율(2010년 기준)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45</vt:i4>
      </vt:variant>
    </vt:vector>
  </HeadingPairs>
  <TitlesOfParts>
    <vt:vector size="50" baseType="lpstr">
      <vt:lpstr>안내</vt:lpstr>
      <vt:lpstr>A1기초자료입력</vt:lpstr>
      <vt:lpstr>A2부가가치계산항목</vt:lpstr>
      <vt:lpstr>B1평가지표</vt:lpstr>
      <vt:lpstr>B2산업평균비율</vt:lpstr>
      <vt:lpstr>A1기초자료입력!Print_Area</vt:lpstr>
      <vt:lpstr>B1평가지표!Print_Area</vt:lpstr>
      <vt:lpstr>B2산업평균비율!Print_Area</vt:lpstr>
      <vt:lpstr>안내!Print_Area</vt:lpstr>
      <vt:lpstr>B2산업평균비율!Print_Titles</vt:lpstr>
      <vt:lpstr>감가상각과소계상_당기</vt:lpstr>
      <vt:lpstr>감가상각과소계상_전기</vt:lpstr>
      <vt:lpstr>감가상각과소계상_전전기</vt:lpstr>
      <vt:lpstr>감가상각적정성_당기</vt:lpstr>
      <vt:lpstr>감가상각적정성_전기</vt:lpstr>
      <vt:lpstr>감가상각적정성_전전기</vt:lpstr>
      <vt:lpstr>감사의견_당기</vt:lpstr>
      <vt:lpstr>감사의견_전기</vt:lpstr>
      <vt:lpstr>감사의견_전전기</vt:lpstr>
      <vt:lpstr>감사인_당기</vt:lpstr>
      <vt:lpstr>감사인_전기</vt:lpstr>
      <vt:lpstr>감사인_전전기</vt:lpstr>
      <vt:lpstr>매출액_당기</vt:lpstr>
      <vt:lpstr>매출액_전기</vt:lpstr>
      <vt:lpstr>매출액_전전기</vt:lpstr>
      <vt:lpstr>매출채권_당기</vt:lpstr>
      <vt:lpstr>매출채권_전기</vt:lpstr>
      <vt:lpstr>매출채권_전전기</vt:lpstr>
      <vt:lpstr>산업분류</vt:lpstr>
      <vt:lpstr>산업평균비율</vt:lpstr>
      <vt:lpstr>유동자산_당기</vt:lpstr>
      <vt:lpstr>유동자산_전기</vt:lpstr>
      <vt:lpstr>유동자산_전전기</vt:lpstr>
      <vt:lpstr>재고자산_당기</vt:lpstr>
      <vt:lpstr>재고자산_전기</vt:lpstr>
      <vt:lpstr>재고자산_전전기</vt:lpstr>
      <vt:lpstr>재무제표_당기</vt:lpstr>
      <vt:lpstr>재무제표_전기</vt:lpstr>
      <vt:lpstr>재무제표_전전기</vt:lpstr>
      <vt:lpstr>퇴직급여과소계상_당기</vt:lpstr>
      <vt:lpstr>퇴직급여과소계상_전기</vt:lpstr>
      <vt:lpstr>퇴직급여과소계상_전전기</vt:lpstr>
      <vt:lpstr>퇴직급여적정성_당기</vt:lpstr>
      <vt:lpstr>퇴직급여적정성_전기</vt:lpstr>
      <vt:lpstr>퇴직급여적정성_전전기</vt:lpstr>
      <vt:lpstr>표준산업분류</vt:lpstr>
      <vt:lpstr>회계기준_당기</vt:lpstr>
      <vt:lpstr>회계기준_전기</vt:lpstr>
      <vt:lpstr>회계기준_전전기</vt:lpstr>
      <vt:lpstr>회사명</vt:lpstr>
    </vt:vector>
  </TitlesOfParts>
  <Company>Samil 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hsujang</dc:creator>
  <cp:lastModifiedBy>user</cp:lastModifiedBy>
  <cp:lastPrinted>2012-03-26T16:14:00Z</cp:lastPrinted>
  <dcterms:created xsi:type="dcterms:W3CDTF">2007-05-02T07:24:22Z</dcterms:created>
  <dcterms:modified xsi:type="dcterms:W3CDTF">2012-03-27T00:14:11Z</dcterms:modified>
</cp:coreProperties>
</file>